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mc:AlternateContent xmlns:mc="http://schemas.openxmlformats.org/markup-compatibility/2006">
    <mc:Choice Requires="x15">
      <x15ac:absPath xmlns:x15ac="http://schemas.microsoft.com/office/spreadsheetml/2010/11/ac" url="Y:\FandA\8-Facility_Renewal\Reporting\Reports\FY26\"/>
    </mc:Choice>
  </mc:AlternateContent>
  <xr:revisionPtr revIDLastSave="0" documentId="8_{65DBD923-5F1F-41D0-B82C-5AB330FF0DE6}" xr6:coauthVersionLast="47" xr6:coauthVersionMax="47" xr10:uidLastSave="{00000000-0000-0000-0000-000000000000}"/>
  <bookViews>
    <workbookView xWindow="28680" yWindow="-120" windowWidth="24240" windowHeight="13020" tabRatio="762" firstSheet="1" activeTab="6"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r:id="rId11"/>
    <sheet name="20179" sheetId="12" state="hidden"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r:id="rId42"/>
    <sheet name="20811" sheetId="63" r:id="rId43"/>
    <sheet name="20812" sheetId="70" r:id="rId44"/>
    <sheet name="20857" sheetId="53" r:id="rId45"/>
    <sheet name="20884" sheetId="64" r:id="rId46"/>
    <sheet name="20885" sheetId="58" r:id="rId47"/>
    <sheet name="20911" sheetId="56" r:id="rId48"/>
    <sheet name="20912" sheetId="55" r:id="rId49"/>
    <sheet name="20913" sheetId="57" r:id="rId50"/>
    <sheet name="20922" sheetId="67" r:id="rId51"/>
    <sheet name="20924" sheetId="62" state="hidden" r:id="rId52"/>
    <sheet name="20925" sheetId="86" r:id="rId53"/>
    <sheet name="20936" sheetId="61" r:id="rId54"/>
    <sheet name="20940" sheetId="74" r:id="rId55"/>
    <sheet name="20945" sheetId="59" r:id="rId56"/>
    <sheet name="20958" sheetId="65" r:id="rId57"/>
    <sheet name="20962" sheetId="75" r:id="rId58"/>
    <sheet name="20979" sheetId="87" r:id="rId59"/>
    <sheet name="20982" sheetId="68" r:id="rId60"/>
    <sheet name="20984" sheetId="72" r:id="rId61"/>
    <sheet name="21004" sheetId="73" r:id="rId62"/>
    <sheet name="21010" sheetId="79" r:id="rId63"/>
    <sheet name="21035" sheetId="85" r:id="rId64"/>
    <sheet name="21066" sheetId="82" r:id="rId65"/>
    <sheet name="21067" sheetId="77" r:id="rId66"/>
    <sheet name="21068" sheetId="78" r:id="rId67"/>
    <sheet name="21070" sheetId="83" r:id="rId68"/>
    <sheet name="21071" sheetId="81" r:id="rId69"/>
    <sheet name="21094" sheetId="80" r:id="rId70"/>
    <sheet name="21108" sheetId="76" state="hidden" r:id="rId71"/>
    <sheet name="21113" sheetId="88" r:id="rId72"/>
    <sheet name="21114" sheetId="84" r:id="rId73"/>
    <sheet name="21127" sheetId="90" r:id="rId74"/>
    <sheet name="JE LOG_FY23" sheetId="11" r:id="rId75"/>
    <sheet name="JE LOG_FY24" sheetId="48" r:id="rId76"/>
    <sheet name="JE LOG_FY25" sheetId="69" r:id="rId77"/>
    <sheet name="JE LOG_FY26" sheetId="89" r:id="rId78"/>
    <sheet name="lookup" sheetId="25" r:id="rId79"/>
    <sheet name="PUC GSF" sheetId="1" state="hidden" r:id="rId80"/>
    <sheet name="Notes" sheetId="6" state="hidden" r:id="rId81"/>
  </sheets>
  <definedNames>
    <definedName name="_xlnm._FilterDatabase" localSheetId="6" hidden="1">'Project Status'!$A$3:$Q$91</definedName>
    <definedName name="JE">'10098'!$E$9:$H$12</definedName>
    <definedName name="list" localSheetId="75">'JE LOG_FY24'!$T:$T</definedName>
    <definedName name="list" localSheetId="76">'JE LOG_FY25'!#REF!</definedName>
    <definedName name="list" localSheetId="77">'JE LOG_FY26'!#REF!</definedName>
    <definedName name="list">'JE LOG_FY23'!$T:$T</definedName>
    <definedName name="_xlnm.Print_Area" localSheetId="4">'Shared Building Allocation'!$A$1:$G$8</definedName>
    <definedName name="Slicer_Building">#N/A</definedName>
    <definedName name="Slicer_Capex___opex">#N/A</definedName>
    <definedName name="Slicer_Lookup">#N/A</definedName>
    <definedName name="Slicer_Phase">#N/A</definedName>
  </definedNames>
  <calcPr calcId="191029"/>
  <pivotCaches>
    <pivotCache cacheId="0" r:id="rId82"/>
  </pivotCaches>
  <extLst>
    <ext xmlns:x14="http://schemas.microsoft.com/office/spreadsheetml/2009/9/main" uri="{BBE1A952-AA13-448e-AADC-164F8A28A991}">
      <x14:slicerCaches>
        <x14:slicerCache r:id="rId83"/>
        <x14:slicerCache r:id="rId84"/>
        <x14:slicerCache r:id="rId85"/>
        <x14:slicerCache r:id="rId8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 i="8" l="1"/>
  <c r="S6" i="8"/>
  <c r="D5" i="8"/>
  <c r="S13" i="8"/>
  <c r="G14" i="18"/>
  <c r="G13" i="18"/>
  <c r="G12" i="18"/>
  <c r="G11" i="18"/>
  <c r="G10" i="18"/>
  <c r="G9" i="18"/>
  <c r="G8" i="18"/>
  <c r="G7" i="18"/>
  <c r="J8" i="17"/>
  <c r="J9" i="17"/>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7" i="17"/>
  <c r="J6" i="17"/>
  <c r="G90" i="3"/>
  <c r="G89" i="3"/>
  <c r="G88" i="3"/>
  <c r="G87" i="3"/>
  <c r="G86" i="3"/>
  <c r="G85" i="3"/>
  <c r="G84" i="3"/>
  <c r="D86" i="17" s="1"/>
  <c r="G83" i="3"/>
  <c r="D85" i="17" s="1"/>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D81" i="17"/>
  <c r="E81" i="17"/>
  <c r="F81" i="17"/>
  <c r="G81" i="17"/>
  <c r="H81" i="17"/>
  <c r="I81" i="17"/>
  <c r="A81" i="17"/>
  <c r="A82" i="17" s="1"/>
  <c r="A83" i="17" s="1"/>
  <c r="A84" i="17" s="1"/>
  <c r="A85" i="17" s="1"/>
  <c r="A86" i="17" s="1"/>
  <c r="A87" i="17" s="1"/>
  <c r="A88" i="17" s="1"/>
  <c r="A89" i="17" s="1"/>
  <c r="A90" i="17" s="1"/>
  <c r="A91" i="17" s="1"/>
  <c r="A92" i="17" s="1"/>
  <c r="B81" i="17"/>
  <c r="B82" i="17"/>
  <c r="B83" i="17"/>
  <c r="B84" i="17"/>
  <c r="B85" i="17"/>
  <c r="B86" i="17"/>
  <c r="B87" i="17"/>
  <c r="B88" i="17"/>
  <c r="B89" i="17"/>
  <c r="B90" i="17"/>
  <c r="B91" i="17"/>
  <c r="B92" i="17"/>
  <c r="D83" i="17"/>
  <c r="E83" i="17"/>
  <c r="F83" i="17"/>
  <c r="G83" i="17"/>
  <c r="H83" i="17"/>
  <c r="I83" i="17"/>
  <c r="D84" i="17"/>
  <c r="E84" i="17"/>
  <c r="F84" i="17"/>
  <c r="G84" i="17"/>
  <c r="H84" i="17"/>
  <c r="I84" i="17"/>
  <c r="E85" i="17"/>
  <c r="F85" i="17"/>
  <c r="G85" i="17"/>
  <c r="H85" i="17"/>
  <c r="I85" i="17"/>
  <c r="E86" i="17"/>
  <c r="F86" i="17"/>
  <c r="G86" i="17"/>
  <c r="H86" i="17"/>
  <c r="I86" i="17"/>
  <c r="D87" i="17"/>
  <c r="E87" i="17"/>
  <c r="F87" i="17"/>
  <c r="G87" i="17"/>
  <c r="H87" i="17"/>
  <c r="I87" i="17"/>
  <c r="D88" i="17"/>
  <c r="E88" i="17"/>
  <c r="F88" i="17"/>
  <c r="G88" i="17"/>
  <c r="H88" i="17"/>
  <c r="I88" i="17"/>
  <c r="D89" i="17"/>
  <c r="E89" i="17"/>
  <c r="F89" i="17"/>
  <c r="G89" i="17"/>
  <c r="H89" i="17"/>
  <c r="I89" i="17"/>
  <c r="D90" i="17"/>
  <c r="E90" i="17"/>
  <c r="F90" i="17"/>
  <c r="G90" i="17"/>
  <c r="H90" i="17"/>
  <c r="I90" i="17"/>
  <c r="D91" i="17"/>
  <c r="E91" i="17"/>
  <c r="F91" i="17"/>
  <c r="G91" i="17"/>
  <c r="H91" i="17"/>
  <c r="I91" i="17"/>
  <c r="D92" i="17"/>
  <c r="E92" i="17"/>
  <c r="F92" i="17"/>
  <c r="G92" i="17"/>
  <c r="H92" i="17"/>
  <c r="I92" i="17"/>
  <c r="I120" i="41"/>
  <c r="J120" i="41"/>
  <c r="K120" i="41" s="1"/>
  <c r="I121" i="41"/>
  <c r="J121" i="41"/>
  <c r="K121" i="41" s="1"/>
  <c r="I122" i="41"/>
  <c r="J122" i="41"/>
  <c r="I123" i="41"/>
  <c r="J123" i="41"/>
  <c r="I124" i="41"/>
  <c r="J124" i="41"/>
  <c r="I125" i="41"/>
  <c r="J125" i="41"/>
  <c r="K125" i="41" s="1"/>
  <c r="I126" i="41"/>
  <c r="J126" i="41"/>
  <c r="K126" i="41" s="1"/>
  <c r="I127" i="41"/>
  <c r="J127" i="41"/>
  <c r="I128" i="41"/>
  <c r="J128" i="41"/>
  <c r="I129" i="41"/>
  <c r="J129" i="41"/>
  <c r="K129" i="41" s="1"/>
  <c r="D120" i="41"/>
  <c r="E120" i="41"/>
  <c r="F120" i="41"/>
  <c r="G120" i="41"/>
  <c r="D121" i="41"/>
  <c r="E121" i="41"/>
  <c r="F121" i="41"/>
  <c r="G121" i="41"/>
  <c r="D122" i="41"/>
  <c r="E122" i="41"/>
  <c r="F122" i="41"/>
  <c r="G122" i="41"/>
  <c r="D123" i="41"/>
  <c r="E123" i="41"/>
  <c r="F123" i="41"/>
  <c r="G123" i="41"/>
  <c r="D124" i="41"/>
  <c r="E124" i="41"/>
  <c r="F124" i="41"/>
  <c r="G124" i="41"/>
  <c r="D125" i="41"/>
  <c r="E125" i="41"/>
  <c r="F125" i="41"/>
  <c r="G125" i="41"/>
  <c r="D126" i="41"/>
  <c r="E126" i="41"/>
  <c r="F126" i="41"/>
  <c r="G126" i="41"/>
  <c r="D127" i="41"/>
  <c r="E127" i="41"/>
  <c r="F127" i="41"/>
  <c r="G127" i="41"/>
  <c r="D128" i="41"/>
  <c r="E128" i="41"/>
  <c r="F128" i="41"/>
  <c r="G128" i="41"/>
  <c r="D129" i="41"/>
  <c r="E129" i="41"/>
  <c r="F129" i="41"/>
  <c r="G129" i="41"/>
  <c r="Z81" i="3"/>
  <c r="Z82" i="3"/>
  <c r="Z83" i="3"/>
  <c r="Z84" i="3"/>
  <c r="Z85" i="3"/>
  <c r="Z86" i="3"/>
  <c r="Z87" i="3"/>
  <c r="Z88" i="3"/>
  <c r="Z89" i="3"/>
  <c r="Z90" i="3"/>
  <c r="Z79" i="3"/>
  <c r="W91" i="3"/>
  <c r="V91" i="3"/>
  <c r="U91" i="3"/>
  <c r="T91" i="3"/>
  <c r="S91" i="3"/>
  <c r="R91" i="3"/>
  <c r="Q91" i="3"/>
  <c r="P91" i="3"/>
  <c r="O91" i="3"/>
  <c r="N91" i="3"/>
  <c r="M91" i="3"/>
  <c r="K122" i="41" l="1"/>
  <c r="K123" i="41"/>
  <c r="K124" i="41"/>
  <c r="K128" i="41"/>
  <c r="K127" i="41"/>
  <c r="S4" i="3"/>
  <c r="X4" i="3"/>
  <c r="Z4" i="3"/>
  <c r="S5" i="3"/>
  <c r="T5" i="3"/>
  <c r="X5" i="3"/>
  <c r="Z5" i="3"/>
  <c r="S6" i="3"/>
  <c r="T6" i="3"/>
  <c r="X6" i="3"/>
  <c r="Z6" i="3"/>
  <c r="S7" i="3"/>
  <c r="U7" i="3"/>
  <c r="X7" i="3"/>
  <c r="Z7" i="3"/>
  <c r="J133" i="41"/>
  <c r="V35" i="3"/>
  <c r="I133" i="41" s="1"/>
  <c r="V50" i="3"/>
  <c r="I4" i="35"/>
  <c r="I18" i="35"/>
  <c r="V11" i="3"/>
  <c r="V28" i="89"/>
  <c r="U28" i="89"/>
  <c r="V29" i="89" l="1"/>
  <c r="W28" i="89"/>
  <c r="K133" i="41"/>
  <c r="I105" i="41"/>
  <c r="K105" i="41" s="1"/>
  <c r="B161" i="41"/>
  <c r="D161" i="41"/>
  <c r="E161" i="41"/>
  <c r="F161" i="41"/>
  <c r="G161" i="41"/>
  <c r="B112" i="41"/>
  <c r="D142" i="41"/>
  <c r="E142" i="41"/>
  <c r="F142" i="41"/>
  <c r="G142" i="41"/>
  <c r="I118" i="41"/>
  <c r="J118" i="41"/>
  <c r="D118" i="41"/>
  <c r="E118" i="41"/>
  <c r="F118" i="41"/>
  <c r="G118" i="41"/>
  <c r="E76" i="17"/>
  <c r="J119" i="41"/>
  <c r="J117" i="41"/>
  <c r="V78" i="3"/>
  <c r="C4" i="89"/>
  <c r="H18" i="90"/>
  <c r="I4" i="90"/>
  <c r="H4" i="90"/>
  <c r="H20" i="90" s="1"/>
  <c r="G4" i="90"/>
  <c r="F4" i="90"/>
  <c r="E4" i="90"/>
  <c r="D4" i="90"/>
  <c r="C4" i="90"/>
  <c r="B4" i="90"/>
  <c r="S3" i="7"/>
  <c r="S19" i="7"/>
  <c r="R15" i="7"/>
  <c r="S14" i="7"/>
  <c r="S13" i="7"/>
  <c r="S12" i="7"/>
  <c r="S11" i="7"/>
  <c r="S10" i="7"/>
  <c r="S9" i="7"/>
  <c r="S8" i="7"/>
  <c r="S7" i="7"/>
  <c r="S6" i="7"/>
  <c r="S5" i="7"/>
  <c r="S15" i="7" s="1"/>
  <c r="B7" i="18"/>
  <c r="B8" i="18"/>
  <c r="B9" i="18"/>
  <c r="B10" i="18"/>
  <c r="B11" i="18"/>
  <c r="B12" i="18"/>
  <c r="B13" i="18"/>
  <c r="B14" i="18"/>
  <c r="B15" i="18"/>
  <c r="B6" i="18"/>
  <c r="B16" i="18" s="1"/>
  <c r="C15" i="18"/>
  <c r="C14" i="18"/>
  <c r="C13" i="18"/>
  <c r="C12" i="18"/>
  <c r="C11" i="18"/>
  <c r="C10" i="18"/>
  <c r="C9" i="18"/>
  <c r="C8" i="18"/>
  <c r="C7" i="18"/>
  <c r="C6" i="18"/>
  <c r="I112" i="41"/>
  <c r="J112" i="41"/>
  <c r="I113" i="41"/>
  <c r="J113" i="41"/>
  <c r="I114" i="41"/>
  <c r="J114" i="41"/>
  <c r="I115" i="41"/>
  <c r="J115" i="41"/>
  <c r="I116" i="41"/>
  <c r="J116" i="41"/>
  <c r="I117" i="41"/>
  <c r="I119" i="41"/>
  <c r="I111" i="41"/>
  <c r="I8" i="17"/>
  <c r="I10" i="17"/>
  <c r="I11" i="17"/>
  <c r="I12" i="17"/>
  <c r="I14" i="17"/>
  <c r="I15" i="17"/>
  <c r="I16" i="17"/>
  <c r="I17" i="17"/>
  <c r="I18" i="17"/>
  <c r="I19" i="17"/>
  <c r="I20" i="17"/>
  <c r="I21" i="17"/>
  <c r="I23" i="17"/>
  <c r="I24" i="17"/>
  <c r="I26" i="17"/>
  <c r="I27" i="17"/>
  <c r="I28" i="17"/>
  <c r="I29" i="17"/>
  <c r="I30" i="17"/>
  <c r="I31" i="17"/>
  <c r="I33" i="17"/>
  <c r="I34" i="17"/>
  <c r="I35" i="17"/>
  <c r="I36" i="17"/>
  <c r="I38" i="17"/>
  <c r="I39" i="17"/>
  <c r="I41" i="17"/>
  <c r="I42" i="17"/>
  <c r="I43" i="17"/>
  <c r="I44" i="17"/>
  <c r="I45" i="17"/>
  <c r="I47" i="17"/>
  <c r="I48" i="17"/>
  <c r="I49" i="17"/>
  <c r="I50" i="17"/>
  <c r="I53" i="17"/>
  <c r="I55" i="17"/>
  <c r="I62" i="17"/>
  <c r="I63" i="17"/>
  <c r="I64" i="17"/>
  <c r="I67" i="17"/>
  <c r="I73" i="17"/>
  <c r="I74" i="17"/>
  <c r="I75" i="17"/>
  <c r="I80" i="17"/>
  <c r="I82" i="17"/>
  <c r="I7" i="17"/>
  <c r="I6" i="17"/>
  <c r="R6" i="8"/>
  <c r="R5" i="8"/>
  <c r="K118" i="41" l="1"/>
  <c r="S18" i="7"/>
  <c r="S20" i="7" s="1"/>
  <c r="C16" i="18"/>
  <c r="I138" i="41"/>
  <c r="R7" i="8"/>
  <c r="C5" i="89"/>
  <c r="X74" i="3"/>
  <c r="X8" i="3"/>
  <c r="X9" i="3"/>
  <c r="X10" i="3"/>
  <c r="X12" i="3"/>
  <c r="X13" i="3"/>
  <c r="X14" i="3"/>
  <c r="X15" i="3"/>
  <c r="X16" i="3"/>
  <c r="X17" i="3"/>
  <c r="X18" i="3"/>
  <c r="X19" i="3"/>
  <c r="X20" i="3"/>
  <c r="X21" i="3"/>
  <c r="X22" i="3"/>
  <c r="X23"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5" i="3"/>
  <c r="X76" i="3"/>
  <c r="X77" i="3"/>
  <c r="X78" i="3"/>
  <c r="X80" i="3"/>
  <c r="K119" i="41"/>
  <c r="D119" i="41"/>
  <c r="E119" i="41"/>
  <c r="F119" i="41"/>
  <c r="G119" i="41"/>
  <c r="G160" i="41"/>
  <c r="F160" i="41"/>
  <c r="E160" i="41"/>
  <c r="D160" i="41"/>
  <c r="F76" i="17"/>
  <c r="G76" i="17"/>
  <c r="H76" i="17"/>
  <c r="B76" i="17"/>
  <c r="B77" i="17"/>
  <c r="B78" i="17"/>
  <c r="B79" i="17"/>
  <c r="B80" i="17"/>
  <c r="B72" i="17"/>
  <c r="E72" i="17"/>
  <c r="F72" i="17"/>
  <c r="G72" i="17"/>
  <c r="H72" i="17"/>
  <c r="B73" i="17"/>
  <c r="E73" i="17"/>
  <c r="F73" i="17"/>
  <c r="G73" i="17"/>
  <c r="H73" i="17"/>
  <c r="B74" i="17"/>
  <c r="E74" i="17"/>
  <c r="F74" i="17"/>
  <c r="G74" i="17"/>
  <c r="H74" i="17"/>
  <c r="B75" i="17"/>
  <c r="E75" i="17"/>
  <c r="F75" i="17"/>
  <c r="G75" i="17"/>
  <c r="H75" i="17"/>
  <c r="U56" i="3"/>
  <c r="I58" i="17" s="1"/>
  <c r="U76" i="3"/>
  <c r="I78" i="17" s="1"/>
  <c r="J111" i="41" l="1"/>
  <c r="X24" i="3"/>
  <c r="X11" i="3"/>
  <c r="T121" i="69"/>
  <c r="T120" i="69"/>
  <c r="S120" i="69"/>
  <c r="X91" i="3" l="1"/>
  <c r="O19" i="7" s="1"/>
  <c r="J138" i="41"/>
  <c r="U120" i="69"/>
  <c r="U49" i="3"/>
  <c r="D106" i="41"/>
  <c r="E106" i="41"/>
  <c r="F106" i="41"/>
  <c r="G106" i="41"/>
  <c r="I4" i="52"/>
  <c r="I4" i="50"/>
  <c r="I4" i="51"/>
  <c r="I4" i="45"/>
  <c r="I4" i="42"/>
  <c r="I4" i="44"/>
  <c r="I4" i="26"/>
  <c r="I4" i="30"/>
  <c r="H20" i="30" s="1"/>
  <c r="I4" i="46"/>
  <c r="I4" i="31"/>
  <c r="I4" i="21"/>
  <c r="I4" i="36"/>
  <c r="I4" i="14"/>
  <c r="I4" i="32"/>
  <c r="I4" i="38"/>
  <c r="I4" i="13"/>
  <c r="I4" i="15"/>
  <c r="I4" i="10"/>
  <c r="I4" i="12"/>
  <c r="I4" i="24"/>
  <c r="I4" i="62"/>
  <c r="I4" i="40"/>
  <c r="H18" i="40"/>
  <c r="Z14" i="3"/>
  <c r="D73" i="17"/>
  <c r="D74" i="17"/>
  <c r="D75" i="17"/>
  <c r="D76" i="17"/>
  <c r="Z69" i="3"/>
  <c r="Z70" i="3"/>
  <c r="Z71" i="3"/>
  <c r="Z72" i="3"/>
  <c r="Z73" i="3"/>
  <c r="Z74" i="3"/>
  <c r="Z75" i="3"/>
  <c r="Z76" i="3"/>
  <c r="Z77" i="3"/>
  <c r="Z78" i="3"/>
  <c r="Z80" i="3"/>
  <c r="H18" i="88"/>
  <c r="I4" i="88"/>
  <c r="H4" i="88"/>
  <c r="G4" i="88"/>
  <c r="F4" i="88"/>
  <c r="E4" i="88"/>
  <c r="D4" i="88"/>
  <c r="C4" i="88"/>
  <c r="B4" i="88"/>
  <c r="J186" i="41"/>
  <c r="J157" i="41"/>
  <c r="K255" i="41"/>
  <c r="L255" i="41" s="1"/>
  <c r="J255" i="41"/>
  <c r="I255" i="41"/>
  <c r="J93" i="17" l="1"/>
  <c r="X93" i="3" s="1"/>
  <c r="I106" i="41"/>
  <c r="K106" i="41" s="1"/>
  <c r="I51" i="17"/>
  <c r="H20" i="40"/>
  <c r="H20" i="88"/>
  <c r="I237" i="41"/>
  <c r="H218" i="41"/>
  <c r="H189" i="41"/>
  <c r="H160" i="41"/>
  <c r="K112" i="41"/>
  <c r="K113" i="41"/>
  <c r="K114" i="41"/>
  <c r="K115" i="41"/>
  <c r="K116" i="41"/>
  <c r="K117" i="41"/>
  <c r="D112" i="41"/>
  <c r="E112" i="41"/>
  <c r="F112" i="41"/>
  <c r="G112" i="41"/>
  <c r="D113" i="41"/>
  <c r="E113" i="41"/>
  <c r="F113" i="41"/>
  <c r="G113" i="41"/>
  <c r="D114" i="41"/>
  <c r="E114" i="41"/>
  <c r="F114" i="41"/>
  <c r="G114" i="41"/>
  <c r="D115" i="41"/>
  <c r="E115" i="41"/>
  <c r="F115" i="41"/>
  <c r="G115" i="41"/>
  <c r="D116" i="41"/>
  <c r="E116" i="41"/>
  <c r="F116" i="41"/>
  <c r="G116" i="41"/>
  <c r="D117" i="41"/>
  <c r="E117" i="41"/>
  <c r="F117" i="41"/>
  <c r="G117" i="41"/>
  <c r="J237" i="41" l="1"/>
  <c r="J215" i="41"/>
  <c r="I215" i="41"/>
  <c r="I186" i="41"/>
  <c r="K237" i="41"/>
  <c r="L237" i="41" s="1"/>
  <c r="K186" i="41"/>
  <c r="L186" i="41" s="1"/>
  <c r="B142" i="41"/>
  <c r="K215" i="41" l="1"/>
  <c r="L215" i="41" s="1"/>
  <c r="D85" i="41"/>
  <c r="E85" i="41"/>
  <c r="F85" i="41"/>
  <c r="G85" i="41"/>
  <c r="G79" i="41"/>
  <c r="F79" i="41"/>
  <c r="E79" i="41"/>
  <c r="D79" i="41"/>
  <c r="B79" i="41"/>
  <c r="B80" i="41" s="1"/>
  <c r="B81" i="41" s="1"/>
  <c r="B82" i="41" s="1"/>
  <c r="B83" i="41" s="1"/>
  <c r="B84" i="41" s="1"/>
  <c r="B85" i="41" s="1"/>
  <c r="B86" i="41" s="1"/>
  <c r="B87" i="41" s="1"/>
  <c r="B88" i="41" s="1"/>
  <c r="B89" i="41" s="1"/>
  <c r="B90" i="41" s="1"/>
  <c r="B91" i="41" s="1"/>
  <c r="B92" i="41" s="1"/>
  <c r="B93" i="41" s="1"/>
  <c r="B94" i="41" s="1"/>
  <c r="B95" i="41" s="1"/>
  <c r="B96" i="41" s="1"/>
  <c r="B97" i="41" s="1"/>
  <c r="B98" i="41" s="1"/>
  <c r="B99" i="41" s="1"/>
  <c r="B100" i="41" s="1"/>
  <c r="B101" i="41" s="1"/>
  <c r="B102" i="41" s="1"/>
  <c r="B103" i="41" s="1"/>
  <c r="D103" i="41"/>
  <c r="E103" i="41"/>
  <c r="F103" i="41"/>
  <c r="G103" i="41"/>
  <c r="E65" i="17"/>
  <c r="F65" i="17"/>
  <c r="G65" i="17"/>
  <c r="H65" i="17"/>
  <c r="B65" i="17"/>
  <c r="B66" i="17"/>
  <c r="B67" i="17"/>
  <c r="B68" i="17"/>
  <c r="B69" i="17"/>
  <c r="B70" i="17"/>
  <c r="B71" i="17"/>
  <c r="Z64" i="3"/>
  <c r="Z65" i="3"/>
  <c r="I9" i="17"/>
  <c r="H18" i="87"/>
  <c r="I4" i="87"/>
  <c r="H4" i="87"/>
  <c r="H20" i="87" s="1"/>
  <c r="G4" i="87"/>
  <c r="F4" i="87"/>
  <c r="E4" i="87"/>
  <c r="D4" i="87"/>
  <c r="C4" i="87"/>
  <c r="B4" i="87"/>
  <c r="U77" i="3"/>
  <c r="I79" i="17" s="1"/>
  <c r="U64" i="3"/>
  <c r="I66" i="17" s="1"/>
  <c r="U59" i="3"/>
  <c r="I61" i="17" s="1"/>
  <c r="U50" i="3"/>
  <c r="U11" i="3"/>
  <c r="I13" i="17" s="1"/>
  <c r="D4" i="85"/>
  <c r="H18" i="35"/>
  <c r="H18" i="86"/>
  <c r="I4" i="86"/>
  <c r="H4" i="86"/>
  <c r="G4" i="86"/>
  <c r="F4" i="86"/>
  <c r="E4" i="86"/>
  <c r="D4" i="86"/>
  <c r="C4" i="86"/>
  <c r="B4" i="86"/>
  <c r="H18" i="85"/>
  <c r="I4" i="85"/>
  <c r="H4" i="85"/>
  <c r="H20" i="85" s="1"/>
  <c r="G4" i="85"/>
  <c r="F4" i="85"/>
  <c r="E4" i="85"/>
  <c r="C4" i="85"/>
  <c r="B4" i="85"/>
  <c r="H18" i="84"/>
  <c r="I4" i="84"/>
  <c r="H4" i="84"/>
  <c r="G4" i="84"/>
  <c r="F4" i="84"/>
  <c r="E4" i="84"/>
  <c r="D4" i="84"/>
  <c r="C4" i="84"/>
  <c r="B4" i="84"/>
  <c r="I102" i="41"/>
  <c r="D102" i="41"/>
  <c r="E102" i="41"/>
  <c r="F102" i="41"/>
  <c r="G102" i="41"/>
  <c r="C2" i="17"/>
  <c r="D72" i="17"/>
  <c r="D82" i="17"/>
  <c r="K9" i="7"/>
  <c r="O6" i="7"/>
  <c r="O7" i="7"/>
  <c r="O8" i="7"/>
  <c r="O9" i="7"/>
  <c r="O10" i="7"/>
  <c r="O11" i="7"/>
  <c r="O12" i="7"/>
  <c r="O13" i="7"/>
  <c r="O14" i="7"/>
  <c r="O5" i="7"/>
  <c r="T69" i="69"/>
  <c r="T82" i="69"/>
  <c r="T83" i="69" s="1"/>
  <c r="T103" i="69"/>
  <c r="T104" i="69" s="1"/>
  <c r="S103" i="69"/>
  <c r="U38" i="3"/>
  <c r="I40" i="17" s="1"/>
  <c r="B4" i="41"/>
  <c r="B5" i="41" s="1"/>
  <c r="B6" i="41" s="1"/>
  <c r="B7" i="41" s="1"/>
  <c r="B8" i="41" s="1"/>
  <c r="B9" i="41" s="1"/>
  <c r="B10" i="41" s="1"/>
  <c r="B11" i="41" s="1"/>
  <c r="B12" i="41" s="1"/>
  <c r="B13" i="41" s="1"/>
  <c r="B14" i="41" s="1"/>
  <c r="B15" i="41" s="1"/>
  <c r="B16" i="41" s="1"/>
  <c r="B17" i="41" s="1"/>
  <c r="B18" i="41" s="1"/>
  <c r="B19" i="41" s="1"/>
  <c r="B20" i="41" s="1"/>
  <c r="B21" i="41" s="1"/>
  <c r="B22" i="41" s="1"/>
  <c r="B23" i="41" s="1"/>
  <c r="B24" i="41" s="1"/>
  <c r="B25" i="41" s="1"/>
  <c r="B26" i="41" s="1"/>
  <c r="B27" i="41" s="1"/>
  <c r="B28" i="41" s="1"/>
  <c r="B29" i="41" s="1"/>
  <c r="B30" i="41" s="1"/>
  <c r="B31" i="41" s="1"/>
  <c r="B36" i="41"/>
  <c r="B37" i="41" s="1"/>
  <c r="B38" i="41" s="1"/>
  <c r="B39" i="41" s="1"/>
  <c r="B40" i="41" s="1"/>
  <c r="B41" i="41" s="1"/>
  <c r="B42" i="41" s="1"/>
  <c r="B43" i="41" s="1"/>
  <c r="B44" i="41" s="1"/>
  <c r="B45" i="41" s="1"/>
  <c r="B46" i="41" s="1"/>
  <c r="B47" i="41" s="1"/>
  <c r="B48" i="41" s="1"/>
  <c r="B49" i="41" s="1"/>
  <c r="B50" i="41" s="1"/>
  <c r="B51" i="41" s="1"/>
  <c r="B52" i="41" s="1"/>
  <c r="B53" i="41" s="1"/>
  <c r="B54" i="41" s="1"/>
  <c r="B55" i="41" s="1"/>
  <c r="B56" i="41" s="1"/>
  <c r="B57" i="41" s="1"/>
  <c r="B58" i="41" s="1"/>
  <c r="B59" i="41" s="1"/>
  <c r="B113" i="41"/>
  <c r="B114" i="41" s="1"/>
  <c r="B115" i="41" s="1"/>
  <c r="B116" i="41" s="1"/>
  <c r="B117" i="41" s="1"/>
  <c r="B118" i="41" s="1"/>
  <c r="B119" i="41" s="1"/>
  <c r="B120" i="41" s="1"/>
  <c r="B121" i="41" s="1"/>
  <c r="B122" i="41" s="1"/>
  <c r="B123" i="41" s="1"/>
  <c r="B124" i="41" s="1"/>
  <c r="B125" i="41" s="1"/>
  <c r="B126" i="41" s="1"/>
  <c r="B127" i="41" s="1"/>
  <c r="B128" i="41" s="1"/>
  <c r="B129" i="41" s="1"/>
  <c r="G141" i="41"/>
  <c r="F141" i="41"/>
  <c r="E141" i="41"/>
  <c r="D141" i="41"/>
  <c r="U69" i="3"/>
  <c r="I71" i="17" s="1"/>
  <c r="H82" i="17"/>
  <c r="G82" i="17"/>
  <c r="F82" i="17"/>
  <c r="E82" i="17"/>
  <c r="F14" i="18" l="1"/>
  <c r="F8" i="18"/>
  <c r="F9" i="18"/>
  <c r="I85" i="41"/>
  <c r="K85" i="41" s="1"/>
  <c r="I52" i="17"/>
  <c r="S16" i="8"/>
  <c r="S15" i="8"/>
  <c r="K111" i="41"/>
  <c r="D65" i="17"/>
  <c r="I103" i="41"/>
  <c r="K103" i="41" s="1"/>
  <c r="K102" i="41"/>
  <c r="H20" i="86"/>
  <c r="H20" i="84"/>
  <c r="U103" i="69"/>
  <c r="I157" i="41"/>
  <c r="K157" i="41"/>
  <c r="L157" i="41" s="1"/>
  <c r="H18" i="83"/>
  <c r="I4" i="83"/>
  <c r="H4" i="83"/>
  <c r="H20" i="83" s="1"/>
  <c r="G4" i="83"/>
  <c r="F4" i="83"/>
  <c r="E4" i="83"/>
  <c r="D4" i="83"/>
  <c r="C4" i="83"/>
  <c r="B4" i="83"/>
  <c r="G105" i="41"/>
  <c r="F105" i="41"/>
  <c r="F4" i="41"/>
  <c r="G4" i="41"/>
  <c r="F5" i="41"/>
  <c r="G5" i="41"/>
  <c r="F6" i="41"/>
  <c r="G6" i="41"/>
  <c r="F7" i="41"/>
  <c r="G7" i="41"/>
  <c r="F8" i="41"/>
  <c r="G8" i="41"/>
  <c r="F9" i="41"/>
  <c r="G9" i="41"/>
  <c r="F10" i="41"/>
  <c r="G10" i="41"/>
  <c r="F11" i="41"/>
  <c r="G11" i="41"/>
  <c r="F12" i="41"/>
  <c r="G12" i="41"/>
  <c r="F13" i="41"/>
  <c r="G13" i="41"/>
  <c r="F14" i="41"/>
  <c r="G14" i="41"/>
  <c r="F15" i="41"/>
  <c r="G15" i="41"/>
  <c r="F16" i="41"/>
  <c r="G16" i="41"/>
  <c r="F17" i="41"/>
  <c r="G17" i="41"/>
  <c r="F18" i="41"/>
  <c r="G18" i="41"/>
  <c r="F19" i="41"/>
  <c r="G19" i="41"/>
  <c r="F20" i="41"/>
  <c r="G20" i="41"/>
  <c r="F21" i="41"/>
  <c r="G21" i="41"/>
  <c r="F22" i="41"/>
  <c r="G22" i="41"/>
  <c r="F23" i="41"/>
  <c r="G23" i="41"/>
  <c r="F24" i="41"/>
  <c r="G24" i="41"/>
  <c r="F25" i="41"/>
  <c r="G25" i="41"/>
  <c r="F26" i="41"/>
  <c r="G26" i="41"/>
  <c r="F27" i="41"/>
  <c r="G27" i="41"/>
  <c r="F28" i="41"/>
  <c r="G28" i="41"/>
  <c r="F29" i="41"/>
  <c r="G29" i="41"/>
  <c r="F30" i="41"/>
  <c r="G30" i="41"/>
  <c r="F31" i="41"/>
  <c r="G31" i="41"/>
  <c r="G3" i="41"/>
  <c r="F3" i="41"/>
  <c r="F62" i="41"/>
  <c r="G62" i="41"/>
  <c r="F63" i="41"/>
  <c r="G63" i="41"/>
  <c r="F64" i="41"/>
  <c r="G64" i="41"/>
  <c r="F65" i="41"/>
  <c r="G65" i="41"/>
  <c r="F66" i="41"/>
  <c r="G66" i="41"/>
  <c r="F67" i="41"/>
  <c r="G67" i="41"/>
  <c r="F68" i="41"/>
  <c r="G68" i="41"/>
  <c r="F69" i="41"/>
  <c r="G69" i="41"/>
  <c r="F70" i="41"/>
  <c r="G70" i="41"/>
  <c r="F71" i="41"/>
  <c r="G71" i="41"/>
  <c r="F72" i="41"/>
  <c r="G72" i="41"/>
  <c r="F73" i="41"/>
  <c r="G73" i="41"/>
  <c r="F74" i="41"/>
  <c r="G74" i="41"/>
  <c r="G61" i="41"/>
  <c r="F61" i="41"/>
  <c r="F36" i="41"/>
  <c r="G36" i="41"/>
  <c r="F37" i="41"/>
  <c r="G37" i="41"/>
  <c r="F38" i="41"/>
  <c r="G38" i="41"/>
  <c r="F39" i="41"/>
  <c r="G39" i="41"/>
  <c r="F40" i="41"/>
  <c r="G40" i="41"/>
  <c r="F41" i="41"/>
  <c r="G41" i="41"/>
  <c r="F42" i="41"/>
  <c r="G42" i="41"/>
  <c r="F43" i="41"/>
  <c r="G43" i="41"/>
  <c r="F44" i="41"/>
  <c r="G44" i="41"/>
  <c r="F45" i="41"/>
  <c r="G45" i="41"/>
  <c r="F46" i="41"/>
  <c r="G46" i="41"/>
  <c r="F47" i="41"/>
  <c r="G47" i="41"/>
  <c r="F48" i="41"/>
  <c r="G48" i="41"/>
  <c r="F49" i="41"/>
  <c r="G49" i="41"/>
  <c r="F50" i="41"/>
  <c r="G50" i="41"/>
  <c r="F51" i="41"/>
  <c r="G51" i="41"/>
  <c r="F52" i="41"/>
  <c r="G52" i="41"/>
  <c r="F53" i="41"/>
  <c r="G53" i="41"/>
  <c r="F54" i="41"/>
  <c r="G54" i="41"/>
  <c r="F55" i="41"/>
  <c r="G55" i="41"/>
  <c r="F56" i="41"/>
  <c r="G56" i="41"/>
  <c r="F57" i="41"/>
  <c r="G57" i="41"/>
  <c r="F58" i="41"/>
  <c r="G58" i="41"/>
  <c r="F59" i="41"/>
  <c r="G59" i="41"/>
  <c r="G35" i="41"/>
  <c r="F35" i="41"/>
  <c r="G111" i="41"/>
  <c r="F111" i="41"/>
  <c r="F80" i="41"/>
  <c r="G80" i="41"/>
  <c r="F81" i="41"/>
  <c r="G81" i="41"/>
  <c r="F82" i="41"/>
  <c r="G82" i="41"/>
  <c r="F83" i="41"/>
  <c r="G83" i="41"/>
  <c r="F84" i="41"/>
  <c r="G84" i="41"/>
  <c r="F86" i="41"/>
  <c r="G86" i="41"/>
  <c r="F87" i="41"/>
  <c r="G87" i="41"/>
  <c r="F88" i="41"/>
  <c r="G88" i="41"/>
  <c r="F89" i="41"/>
  <c r="G89" i="41"/>
  <c r="F90" i="41"/>
  <c r="G90" i="41"/>
  <c r="F91" i="41"/>
  <c r="G91" i="41"/>
  <c r="F92" i="41"/>
  <c r="G92" i="41"/>
  <c r="F93" i="41"/>
  <c r="G93" i="41"/>
  <c r="F94" i="41"/>
  <c r="G94" i="41"/>
  <c r="F95" i="41"/>
  <c r="G95" i="41"/>
  <c r="F96" i="41"/>
  <c r="G96" i="41"/>
  <c r="F97" i="41"/>
  <c r="G97" i="41"/>
  <c r="F98" i="41"/>
  <c r="G98" i="41"/>
  <c r="F99" i="41"/>
  <c r="G99" i="41"/>
  <c r="F100" i="41"/>
  <c r="G100" i="41"/>
  <c r="F101" i="41"/>
  <c r="G101" i="41"/>
  <c r="G78" i="41"/>
  <c r="F78" i="41"/>
  <c r="S82" i="69"/>
  <c r="U75" i="3"/>
  <c r="I77" i="17" s="1"/>
  <c r="U74" i="3"/>
  <c r="I76" i="17" s="1"/>
  <c r="U70" i="3"/>
  <c r="I72" i="17" s="1"/>
  <c r="U68" i="3"/>
  <c r="I70" i="17" s="1"/>
  <c r="U67" i="3"/>
  <c r="I69" i="17" s="1"/>
  <c r="U66" i="3"/>
  <c r="I68" i="17" s="1"/>
  <c r="U63" i="3"/>
  <c r="I65" i="17" s="1"/>
  <c r="I4" i="76"/>
  <c r="I4" i="80"/>
  <c r="I4" i="81"/>
  <c r="I4" i="78"/>
  <c r="I4" i="77"/>
  <c r="I4" i="82"/>
  <c r="I4" i="79"/>
  <c r="O15" i="7"/>
  <c r="H18" i="82"/>
  <c r="H4" i="82"/>
  <c r="G4" i="82"/>
  <c r="F4" i="82"/>
  <c r="E4" i="82"/>
  <c r="D4" i="82"/>
  <c r="C4" i="82"/>
  <c r="B4" i="82"/>
  <c r="H18" i="81"/>
  <c r="H4" i="81"/>
  <c r="G4" i="81"/>
  <c r="F4" i="81"/>
  <c r="E4" i="81"/>
  <c r="C4" i="81"/>
  <c r="B4" i="81"/>
  <c r="H18" i="80"/>
  <c r="H4" i="80"/>
  <c r="G4" i="80"/>
  <c r="F4" i="80"/>
  <c r="E4" i="80"/>
  <c r="D4" i="80"/>
  <c r="C4" i="80"/>
  <c r="B4" i="80"/>
  <c r="I4" i="16"/>
  <c r="I5" i="19"/>
  <c r="I4" i="22"/>
  <c r="I4" i="39"/>
  <c r="I4" i="37"/>
  <c r="I4" i="33"/>
  <c r="I4" i="73"/>
  <c r="I4" i="72"/>
  <c r="I4" i="68"/>
  <c r="I4" i="75"/>
  <c r="I4" i="65"/>
  <c r="I4" i="59"/>
  <c r="I4" i="74"/>
  <c r="I4" i="61"/>
  <c r="I4" i="57"/>
  <c r="I4" i="55"/>
  <c r="I4" i="58"/>
  <c r="I4" i="53"/>
  <c r="I4" i="70"/>
  <c r="I4" i="63"/>
  <c r="I4" i="66"/>
  <c r="H20" i="66" s="1"/>
  <c r="I4" i="67"/>
  <c r="I4" i="56"/>
  <c r="H20" i="56" s="1"/>
  <c r="I4" i="64"/>
  <c r="I4" i="60"/>
  <c r="I4" i="27"/>
  <c r="H20" i="27" s="1"/>
  <c r="I4" i="20"/>
  <c r="I4" i="29"/>
  <c r="I4" i="34"/>
  <c r="H4" i="29"/>
  <c r="G4" i="29"/>
  <c r="F4" i="29"/>
  <c r="E4" i="29"/>
  <c r="D4" i="29"/>
  <c r="C4" i="29"/>
  <c r="B4" i="29"/>
  <c r="H4" i="20"/>
  <c r="G4" i="20"/>
  <c r="F4" i="20"/>
  <c r="E4" i="20"/>
  <c r="D4" i="20"/>
  <c r="C4" i="20"/>
  <c r="B4" i="20"/>
  <c r="H4" i="34"/>
  <c r="G4" i="34"/>
  <c r="F4" i="34"/>
  <c r="E4" i="34"/>
  <c r="D4" i="34"/>
  <c r="C4" i="34"/>
  <c r="B4" i="34"/>
  <c r="H4" i="35"/>
  <c r="G4" i="35"/>
  <c r="F4" i="35"/>
  <c r="E4" i="35"/>
  <c r="D4" i="35"/>
  <c r="C4" i="35"/>
  <c r="B4" i="35"/>
  <c r="H4" i="16"/>
  <c r="G4" i="16"/>
  <c r="F4" i="16"/>
  <c r="E4" i="16"/>
  <c r="D4" i="16"/>
  <c r="C4" i="16"/>
  <c r="B4" i="16"/>
  <c r="H5" i="19"/>
  <c r="G5" i="19"/>
  <c r="F5" i="19"/>
  <c r="E5" i="19"/>
  <c r="D5" i="19"/>
  <c r="C5" i="19"/>
  <c r="B5" i="19"/>
  <c r="H4" i="22"/>
  <c r="G4" i="22"/>
  <c r="F4" i="22"/>
  <c r="E4" i="22"/>
  <c r="D4" i="22"/>
  <c r="C4" i="22"/>
  <c r="B4" i="22"/>
  <c r="H4" i="27"/>
  <c r="G4" i="27"/>
  <c r="F4" i="27"/>
  <c r="E4" i="27"/>
  <c r="D4" i="27"/>
  <c r="C4" i="27"/>
  <c r="B4" i="27"/>
  <c r="H4" i="39"/>
  <c r="G4" i="39"/>
  <c r="F4" i="39"/>
  <c r="E4" i="39"/>
  <c r="D4" i="39"/>
  <c r="C4" i="39"/>
  <c r="B4" i="39"/>
  <c r="H4" i="37"/>
  <c r="G4" i="37"/>
  <c r="F4" i="37"/>
  <c r="E4" i="37"/>
  <c r="D4" i="37"/>
  <c r="C4" i="37"/>
  <c r="B4" i="37"/>
  <c r="H4" i="33"/>
  <c r="G4" i="33"/>
  <c r="F4" i="33"/>
  <c r="E4" i="33"/>
  <c r="D4" i="33"/>
  <c r="C4" i="33"/>
  <c r="B4" i="33"/>
  <c r="H4" i="60"/>
  <c r="G4" i="60"/>
  <c r="F4" i="60"/>
  <c r="E4" i="60"/>
  <c r="D4" i="60"/>
  <c r="C4" i="60"/>
  <c r="B4" i="60"/>
  <c r="H4" i="66"/>
  <c r="G4" i="66"/>
  <c r="F4" i="66"/>
  <c r="E4" i="66"/>
  <c r="D4" i="66"/>
  <c r="C4" i="66"/>
  <c r="B4" i="66"/>
  <c r="H4" i="63"/>
  <c r="G4" i="63"/>
  <c r="F4" i="63"/>
  <c r="E4" i="63"/>
  <c r="D4" i="63"/>
  <c r="C4" i="63"/>
  <c r="B4" i="63"/>
  <c r="H4" i="70"/>
  <c r="H20" i="70" s="1"/>
  <c r="G4" i="70"/>
  <c r="F4" i="70"/>
  <c r="E4" i="70"/>
  <c r="D4" i="70"/>
  <c r="C4" i="70"/>
  <c r="B4" i="70"/>
  <c r="H4" i="53"/>
  <c r="G4" i="53"/>
  <c r="F4" i="53"/>
  <c r="E4" i="53"/>
  <c r="D4" i="53"/>
  <c r="C4" i="53"/>
  <c r="B4" i="53"/>
  <c r="H4" i="64"/>
  <c r="G4" i="64"/>
  <c r="F4" i="64"/>
  <c r="E4" i="64"/>
  <c r="D4" i="64"/>
  <c r="C4" i="64"/>
  <c r="B4" i="64"/>
  <c r="H4" i="58"/>
  <c r="G4" i="58"/>
  <c r="F4" i="58"/>
  <c r="E4" i="58"/>
  <c r="D4" i="58"/>
  <c r="C4" i="58"/>
  <c r="B4" i="58"/>
  <c r="H4" i="56"/>
  <c r="G4" i="56"/>
  <c r="F4" i="56"/>
  <c r="E4" i="56"/>
  <c r="D4" i="56"/>
  <c r="C4" i="56"/>
  <c r="B4" i="56"/>
  <c r="H4" i="55"/>
  <c r="G4" i="55"/>
  <c r="F4" i="55"/>
  <c r="E4" i="55"/>
  <c r="D4" i="55"/>
  <c r="C4" i="55"/>
  <c r="B4" i="55"/>
  <c r="H4" i="57"/>
  <c r="G4" i="57"/>
  <c r="F4" i="57"/>
  <c r="E4" i="57"/>
  <c r="D4" i="57"/>
  <c r="C4" i="57"/>
  <c r="B4" i="57"/>
  <c r="H4" i="67"/>
  <c r="G4" i="67"/>
  <c r="F4" i="67"/>
  <c r="E4" i="67"/>
  <c r="D4" i="67"/>
  <c r="C4" i="67"/>
  <c r="B4" i="67"/>
  <c r="H4" i="62"/>
  <c r="G4" i="62"/>
  <c r="F4" i="62"/>
  <c r="E4" i="62"/>
  <c r="D4" i="62"/>
  <c r="C4" i="62"/>
  <c r="B4" i="62"/>
  <c r="H4" i="61"/>
  <c r="G4" i="61"/>
  <c r="F4" i="61"/>
  <c r="E4" i="61"/>
  <c r="D4" i="61"/>
  <c r="C4" i="61"/>
  <c r="B4" i="61"/>
  <c r="H4" i="74"/>
  <c r="G4" i="74"/>
  <c r="F4" i="74"/>
  <c r="E4" i="74"/>
  <c r="D4" i="74"/>
  <c r="C4" i="74"/>
  <c r="B4" i="74"/>
  <c r="H4" i="59"/>
  <c r="G4" i="59"/>
  <c r="F4" i="59"/>
  <c r="E4" i="59"/>
  <c r="D4" i="59"/>
  <c r="C4" i="59"/>
  <c r="B4" i="59"/>
  <c r="H4" i="65"/>
  <c r="G4" i="65"/>
  <c r="F4" i="65"/>
  <c r="E4" i="65"/>
  <c r="D4" i="65"/>
  <c r="C4" i="65"/>
  <c r="B4" i="65"/>
  <c r="H4" i="75"/>
  <c r="H20" i="75" s="1"/>
  <c r="G4" i="75"/>
  <c r="F4" i="75"/>
  <c r="E4" i="75"/>
  <c r="D4" i="75"/>
  <c r="C4" i="75"/>
  <c r="B4" i="75"/>
  <c r="H4" i="68"/>
  <c r="G4" i="68"/>
  <c r="F4" i="68"/>
  <c r="E4" i="68"/>
  <c r="D4" i="68"/>
  <c r="C4" i="68"/>
  <c r="B4" i="68"/>
  <c r="H4" i="72"/>
  <c r="G4" i="72"/>
  <c r="F4" i="72"/>
  <c r="E4" i="72"/>
  <c r="D4" i="72"/>
  <c r="C4" i="72"/>
  <c r="B4" i="72"/>
  <c r="H4" i="73"/>
  <c r="G4" i="73"/>
  <c r="F4" i="73"/>
  <c r="E4" i="73"/>
  <c r="D4" i="73"/>
  <c r="C4" i="73"/>
  <c r="B4" i="73"/>
  <c r="H4" i="79"/>
  <c r="G4" i="79"/>
  <c r="F4" i="79"/>
  <c r="E4" i="79"/>
  <c r="D4" i="79"/>
  <c r="C4" i="79"/>
  <c r="B4" i="79"/>
  <c r="H4" i="77"/>
  <c r="G4" i="77"/>
  <c r="F4" i="77"/>
  <c r="E4" i="77"/>
  <c r="D4" i="77"/>
  <c r="C4" i="77"/>
  <c r="B4" i="77"/>
  <c r="H4" i="78"/>
  <c r="G4" i="78"/>
  <c r="F4" i="78"/>
  <c r="E4" i="78"/>
  <c r="D4" i="78"/>
  <c r="C4" i="78"/>
  <c r="B4" i="78"/>
  <c r="F4" i="76"/>
  <c r="G4" i="76"/>
  <c r="H4" i="76"/>
  <c r="E4" i="76"/>
  <c r="D4" i="76"/>
  <c r="C4" i="76"/>
  <c r="B4" i="76"/>
  <c r="H18" i="79"/>
  <c r="H18" i="78"/>
  <c r="H18" i="77"/>
  <c r="H18" i="76"/>
  <c r="I96" i="41"/>
  <c r="I100" i="41"/>
  <c r="I101" i="41"/>
  <c r="D93" i="41"/>
  <c r="E93" i="41"/>
  <c r="D94" i="41"/>
  <c r="E94" i="41"/>
  <c r="D95" i="41"/>
  <c r="E95" i="41"/>
  <c r="D96" i="41"/>
  <c r="E96" i="41"/>
  <c r="D97" i="41"/>
  <c r="E97" i="41"/>
  <c r="D98" i="41"/>
  <c r="E98" i="41"/>
  <c r="D99" i="41"/>
  <c r="E99" i="41"/>
  <c r="D100" i="41"/>
  <c r="E100" i="41"/>
  <c r="D101" i="41"/>
  <c r="E101" i="41"/>
  <c r="Z66" i="3"/>
  <c r="Z67" i="3"/>
  <c r="Z68" i="3"/>
  <c r="H9" i="17"/>
  <c r="H13" i="17"/>
  <c r="H31" i="17"/>
  <c r="H57" i="17"/>
  <c r="H60" i="17"/>
  <c r="H61" i="17"/>
  <c r="H62" i="17"/>
  <c r="H63" i="17"/>
  <c r="H64" i="17"/>
  <c r="H66" i="17"/>
  <c r="H67" i="17"/>
  <c r="H68" i="17"/>
  <c r="H69" i="17"/>
  <c r="H70" i="17"/>
  <c r="H71" i="17"/>
  <c r="H77" i="17"/>
  <c r="H78" i="17"/>
  <c r="H79" i="17"/>
  <c r="H80" i="17"/>
  <c r="H6"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6" i="17"/>
  <c r="G67" i="17"/>
  <c r="G68" i="17"/>
  <c r="G69" i="17"/>
  <c r="G70" i="17"/>
  <c r="G71" i="17"/>
  <c r="G77" i="17"/>
  <c r="G78" i="17"/>
  <c r="G79" i="17"/>
  <c r="G80" i="17"/>
  <c r="E67" i="17"/>
  <c r="F67" i="17"/>
  <c r="E68" i="17"/>
  <c r="F68" i="17"/>
  <c r="E69" i="17"/>
  <c r="F69" i="17"/>
  <c r="E70" i="17"/>
  <c r="F70" i="17"/>
  <c r="E71" i="17"/>
  <c r="F71" i="17"/>
  <c r="E77" i="17"/>
  <c r="F77" i="17"/>
  <c r="E78" i="17"/>
  <c r="F78" i="17"/>
  <c r="E79" i="17"/>
  <c r="F79" i="17"/>
  <c r="E80" i="17"/>
  <c r="F80"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6" i="17"/>
  <c r="F7" i="17"/>
  <c r="F6" i="17"/>
  <c r="D80" i="17"/>
  <c r="D67" i="17"/>
  <c r="D68" i="17"/>
  <c r="D69" i="17"/>
  <c r="D70" i="17"/>
  <c r="D71" i="17"/>
  <c r="D77" i="17"/>
  <c r="D78" i="17"/>
  <c r="D79" i="17"/>
  <c r="S69" i="69"/>
  <c r="U55" i="3"/>
  <c r="I57" i="17" s="1"/>
  <c r="U52" i="3"/>
  <c r="I54" i="17" s="1"/>
  <c r="H18" i="75"/>
  <c r="E24" i="17"/>
  <c r="H111" i="41"/>
  <c r="U23" i="3"/>
  <c r="I25" i="17" s="1"/>
  <c r="K5" i="7"/>
  <c r="G7" i="7"/>
  <c r="E64" i="17"/>
  <c r="E66" i="17"/>
  <c r="B64" i="17"/>
  <c r="F93" i="17" l="1"/>
  <c r="I19" i="35"/>
  <c r="H19" i="35"/>
  <c r="I20" i="35"/>
  <c r="F12" i="18"/>
  <c r="F10" i="18"/>
  <c r="C9" i="89"/>
  <c r="H8" i="18"/>
  <c r="K138" i="41"/>
  <c r="T6" i="8"/>
  <c r="T5" i="8"/>
  <c r="S17" i="8"/>
  <c r="I92" i="41"/>
  <c r="K92" i="41" s="1"/>
  <c r="I93" i="41"/>
  <c r="K93" i="41" s="1"/>
  <c r="I94" i="41"/>
  <c r="K94" i="41" s="1"/>
  <c r="I95" i="41"/>
  <c r="K95" i="41" s="1"/>
  <c r="I86" i="41"/>
  <c r="K86" i="41" s="1"/>
  <c r="I98" i="41"/>
  <c r="K98" i="41" s="1"/>
  <c r="I88" i="41"/>
  <c r="K88" i="41" s="1"/>
  <c r="I99" i="41"/>
  <c r="K99" i="41" s="1"/>
  <c r="U82" i="69"/>
  <c r="I97" i="41"/>
  <c r="K97" i="41" s="1"/>
  <c r="H20" i="82"/>
  <c r="H20" i="78"/>
  <c r="I80" i="41"/>
  <c r="K80" i="41" s="1"/>
  <c r="H20" i="77"/>
  <c r="H20" i="81"/>
  <c r="H20" i="80"/>
  <c r="H20" i="76"/>
  <c r="H20" i="79"/>
  <c r="K96" i="41"/>
  <c r="K100" i="41"/>
  <c r="K101" i="41"/>
  <c r="U69" i="69"/>
  <c r="T70" i="69"/>
  <c r="D66" i="17"/>
  <c r="U20" i="3"/>
  <c r="E39" i="17"/>
  <c r="B38" i="17"/>
  <c r="B39"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U57" i="3"/>
  <c r="H18" i="74"/>
  <c r="H20" i="74" s="1"/>
  <c r="U30" i="3"/>
  <c r="H18" i="73"/>
  <c r="H20" i="73" s="1"/>
  <c r="S30" i="3"/>
  <c r="S27" i="3"/>
  <c r="S23" i="3"/>
  <c r="S20" i="3"/>
  <c r="H20" i="20"/>
  <c r="I22" i="17" l="1"/>
  <c r="F7" i="18"/>
  <c r="I59" i="17"/>
  <c r="F11" i="18"/>
  <c r="I32" i="17"/>
  <c r="N13" i="8"/>
  <c r="N15" i="8" s="1"/>
  <c r="N6" i="8"/>
  <c r="I79" i="41"/>
  <c r="K79" i="41" s="1"/>
  <c r="I91" i="41"/>
  <c r="I17" i="41"/>
  <c r="I78" i="41"/>
  <c r="I81" i="41"/>
  <c r="K81" i="41" s="1"/>
  <c r="I24" i="41"/>
  <c r="I89" i="41"/>
  <c r="K89" i="41" s="1"/>
  <c r="I27" i="41"/>
  <c r="I20" i="41"/>
  <c r="H11" i="37"/>
  <c r="U44" i="3"/>
  <c r="N15" i="7"/>
  <c r="U58" i="3"/>
  <c r="I60" i="17" s="1"/>
  <c r="H18" i="72"/>
  <c r="I46" i="17" l="1"/>
  <c r="K91" i="41"/>
  <c r="I84" i="41"/>
  <c r="K84" i="41" s="1"/>
  <c r="I90" i="41"/>
  <c r="K90" i="41" s="1"/>
  <c r="H20" i="72"/>
  <c r="D84" i="41"/>
  <c r="E84" i="41"/>
  <c r="O18" i="7" l="1"/>
  <c r="O20" i="7" s="1"/>
  <c r="D105" i="41"/>
  <c r="E105" i="41"/>
  <c r="U35" i="3"/>
  <c r="U54" i="3"/>
  <c r="T28" i="69"/>
  <c r="S28" i="69"/>
  <c r="I37" i="17" l="1"/>
  <c r="F13" i="18"/>
  <c r="I56" i="17"/>
  <c r="N5" i="8"/>
  <c r="T29" i="69"/>
  <c r="I83" i="41"/>
  <c r="I87" i="41"/>
  <c r="K87" i="41" s="1"/>
  <c r="I82" i="41"/>
  <c r="U28" i="69"/>
  <c r="E58" i="17"/>
  <c r="E59" i="17"/>
  <c r="E60" i="17"/>
  <c r="E61" i="17"/>
  <c r="E62" i="17"/>
  <c r="E63" i="17"/>
  <c r="B59" i="17"/>
  <c r="B58" i="17"/>
  <c r="B60" i="17"/>
  <c r="B61" i="17"/>
  <c r="B62" i="17"/>
  <c r="B63" i="17"/>
  <c r="H18" i="70"/>
  <c r="D91" i="41"/>
  <c r="E91" i="41"/>
  <c r="H18" i="12"/>
  <c r="D92" i="41"/>
  <c r="E92" i="41"/>
  <c r="D90" i="41"/>
  <c r="E90" i="41"/>
  <c r="D83" i="41"/>
  <c r="E83" i="41"/>
  <c r="Z8" i="3"/>
  <c r="Z9" i="3"/>
  <c r="Z10" i="3"/>
  <c r="Z11" i="3"/>
  <c r="Z12" i="3"/>
  <c r="Z13"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I93" i="17" l="1"/>
  <c r="K19" i="7"/>
  <c r="K82" i="41"/>
  <c r="I108" i="41"/>
  <c r="D60" i="17"/>
  <c r="D62" i="17"/>
  <c r="D63" i="17"/>
  <c r="D64" i="17"/>
  <c r="D58" i="17"/>
  <c r="D59" i="17"/>
  <c r="D61" i="17"/>
  <c r="K83" i="41" l="1"/>
  <c r="J108" i="41"/>
  <c r="S79" i="48"/>
  <c r="S89" i="48"/>
  <c r="R89" i="48"/>
  <c r="U93" i="3" l="1"/>
  <c r="K78" i="41"/>
  <c r="K108" i="41" s="1"/>
  <c r="S90" i="48"/>
  <c r="T89" i="48"/>
  <c r="T57" i="3"/>
  <c r="H59" i="17" s="1"/>
  <c r="T35" i="3"/>
  <c r="T32" i="3"/>
  <c r="E59" i="41"/>
  <c r="D59" i="41"/>
  <c r="H18" i="68"/>
  <c r="H20" i="68"/>
  <c r="S32" i="3"/>
  <c r="G34" i="17" s="1"/>
  <c r="N16" i="8" l="1"/>
  <c r="N17" i="8" s="1"/>
  <c r="O5" i="8"/>
  <c r="I59" i="41"/>
  <c r="K59" i="41" s="1"/>
  <c r="H58" i="17"/>
  <c r="I74" i="41"/>
  <c r="I29" i="41"/>
  <c r="I43" i="41"/>
  <c r="D74" i="41"/>
  <c r="E74" i="41"/>
  <c r="H18" i="42"/>
  <c r="E55" i="17"/>
  <c r="E56" i="17"/>
  <c r="E57" i="17"/>
  <c r="B56" i="17"/>
  <c r="B57" i="17"/>
  <c r="B49" i="17"/>
  <c r="B50" i="17"/>
  <c r="B51" i="17"/>
  <c r="B52" i="17"/>
  <c r="B53" i="17"/>
  <c r="B54" i="17"/>
  <c r="B55" i="17"/>
  <c r="D43" i="41"/>
  <c r="E43" i="41"/>
  <c r="D80" i="41"/>
  <c r="E80" i="41"/>
  <c r="D81" i="41"/>
  <c r="E81" i="41"/>
  <c r="D82" i="41"/>
  <c r="E82" i="41"/>
  <c r="D86" i="41"/>
  <c r="E86" i="41"/>
  <c r="D87" i="41"/>
  <c r="E87" i="41"/>
  <c r="D88" i="41"/>
  <c r="E88" i="41"/>
  <c r="D89" i="41"/>
  <c r="E89" i="41"/>
  <c r="T54" i="3"/>
  <c r="H56" i="17" s="1"/>
  <c r="T48" i="3"/>
  <c r="T44" i="3"/>
  <c r="I54" i="41" l="1"/>
  <c r="I58" i="41"/>
  <c r="I50" i="41"/>
  <c r="O6" i="8"/>
  <c r="K74" i="41"/>
  <c r="K43" i="41"/>
  <c r="D56" i="17"/>
  <c r="D57" i="17"/>
  <c r="H18" i="67"/>
  <c r="H18" i="66"/>
  <c r="H18" i="65"/>
  <c r="S76" i="48"/>
  <c r="R76" i="48"/>
  <c r="H20" i="67" l="1"/>
  <c r="H20" i="65"/>
  <c r="S77" i="48"/>
  <c r="T76" i="48"/>
  <c r="D72" i="41"/>
  <c r="E72" i="41"/>
  <c r="T22" i="3"/>
  <c r="H24" i="17" s="1"/>
  <c r="E78" i="41"/>
  <c r="D78" i="41"/>
  <c r="D55" i="41"/>
  <c r="E55" i="41"/>
  <c r="I70" i="41" l="1"/>
  <c r="T43" i="3"/>
  <c r="H45" i="17" s="1"/>
  <c r="H18" i="64"/>
  <c r="T37" i="3"/>
  <c r="H39" i="17" s="1"/>
  <c r="H18" i="63"/>
  <c r="T51" i="3"/>
  <c r="H53" i="17" s="1"/>
  <c r="S22" i="3"/>
  <c r="G24" i="17" s="1"/>
  <c r="H18" i="46"/>
  <c r="T49" i="3"/>
  <c r="H51" i="17" s="1"/>
  <c r="H18" i="62"/>
  <c r="H20" i="62" s="1"/>
  <c r="D58" i="41"/>
  <c r="E58" i="41"/>
  <c r="D54" i="41"/>
  <c r="E54" i="41"/>
  <c r="I44" i="41" l="1"/>
  <c r="H52" i="17"/>
  <c r="I56" i="41"/>
  <c r="I19" i="41"/>
  <c r="H50" i="17"/>
  <c r="I55" i="41"/>
  <c r="K55" i="41" s="1"/>
  <c r="I49" i="41"/>
  <c r="K54" i="41"/>
  <c r="H20" i="64"/>
  <c r="H20" i="63"/>
  <c r="K58" i="41"/>
  <c r="E7" i="17" l="1"/>
  <c r="E8" i="17"/>
  <c r="E9" i="17"/>
  <c r="E10" i="17"/>
  <c r="E11" i="17"/>
  <c r="E12" i="17"/>
  <c r="E13" i="17"/>
  <c r="E14" i="17"/>
  <c r="E15" i="17"/>
  <c r="E16" i="17"/>
  <c r="E17" i="17"/>
  <c r="E18" i="17"/>
  <c r="E19" i="17"/>
  <c r="E20" i="17"/>
  <c r="E21" i="17"/>
  <c r="E22" i="17"/>
  <c r="E23" i="17"/>
  <c r="E25" i="17"/>
  <c r="E26" i="17"/>
  <c r="E27" i="17"/>
  <c r="E28" i="17"/>
  <c r="E29" i="17"/>
  <c r="E30" i="17"/>
  <c r="E31" i="17"/>
  <c r="E32" i="17"/>
  <c r="E33" i="17"/>
  <c r="E34" i="17"/>
  <c r="E35" i="17"/>
  <c r="E36" i="17"/>
  <c r="E37" i="17"/>
  <c r="E38" i="17"/>
  <c r="E40" i="17"/>
  <c r="E41" i="17"/>
  <c r="E42" i="17"/>
  <c r="E43" i="17"/>
  <c r="E44" i="17"/>
  <c r="E45" i="17"/>
  <c r="E46" i="17"/>
  <c r="E47" i="17"/>
  <c r="E48" i="17"/>
  <c r="E49" i="17"/>
  <c r="E50" i="17"/>
  <c r="E51" i="17"/>
  <c r="E52" i="17"/>
  <c r="E53" i="17"/>
  <c r="E54"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40" i="17"/>
  <c r="B41" i="17"/>
  <c r="B42" i="17"/>
  <c r="B43" i="17"/>
  <c r="B44" i="17"/>
  <c r="B45" i="17"/>
  <c r="B46" i="17"/>
  <c r="B47" i="17"/>
  <c r="B48" i="17"/>
  <c r="B6" i="17"/>
  <c r="D57" i="41"/>
  <c r="E57" i="41"/>
  <c r="D48" i="41"/>
  <c r="E48" i="41"/>
  <c r="D54" i="17"/>
  <c r="H18" i="61"/>
  <c r="D38" i="41"/>
  <c r="E38" i="41"/>
  <c r="T21" i="3"/>
  <c r="H23" i="17" s="1"/>
  <c r="S21" i="3"/>
  <c r="G23" i="17" s="1"/>
  <c r="T19" i="3"/>
  <c r="H21" i="17" s="1"/>
  <c r="S19" i="3"/>
  <c r="G21" i="17" s="1"/>
  <c r="T18" i="3"/>
  <c r="S18" i="3"/>
  <c r="T8" i="3"/>
  <c r="T15" i="3"/>
  <c r="H17" i="17" s="1"/>
  <c r="S15" i="3"/>
  <c r="G17" i="17" s="1"/>
  <c r="S8" i="3"/>
  <c r="I67" i="41" l="1"/>
  <c r="G20" i="17"/>
  <c r="I16" i="41"/>
  <c r="G10" i="17"/>
  <c r="I7" i="41"/>
  <c r="I18" i="41"/>
  <c r="G22" i="17"/>
  <c r="I15" i="41"/>
  <c r="G16" i="17"/>
  <c r="I13" i="41"/>
  <c r="H22" i="17"/>
  <c r="I69" i="41"/>
  <c r="K69" i="41" s="1"/>
  <c r="I62" i="41"/>
  <c r="H10" i="17"/>
  <c r="I68" i="41"/>
  <c r="K68" i="41" s="1"/>
  <c r="H20" i="17"/>
  <c r="H16" i="17"/>
  <c r="I65" i="41"/>
  <c r="K70" i="41"/>
  <c r="D55" i="17"/>
  <c r="H20" i="61"/>
  <c r="K49" i="41"/>
  <c r="D68" i="41" l="1"/>
  <c r="E68" i="41"/>
  <c r="D69" i="41"/>
  <c r="E69" i="41"/>
  <c r="D70" i="41"/>
  <c r="E70" i="41"/>
  <c r="D71" i="41"/>
  <c r="E71" i="41"/>
  <c r="D73" i="41"/>
  <c r="E73" i="41"/>
  <c r="T33" i="3"/>
  <c r="T42" i="3"/>
  <c r="H44" i="17" s="1"/>
  <c r="T53" i="3"/>
  <c r="H55" i="17" s="1"/>
  <c r="T47" i="3"/>
  <c r="H49" i="17" s="1"/>
  <c r="T46" i="3"/>
  <c r="T45" i="3"/>
  <c r="S67" i="48"/>
  <c r="S68" i="48" s="1"/>
  <c r="R67" i="48"/>
  <c r="H18" i="60"/>
  <c r="H20" i="60"/>
  <c r="H18" i="59"/>
  <c r="K16" i="34"/>
  <c r="J16" i="34"/>
  <c r="R57" i="48"/>
  <c r="S52" i="48"/>
  <c r="S57" i="48" s="1"/>
  <c r="T36" i="3"/>
  <c r="H38" i="17" s="1"/>
  <c r="S36" i="3"/>
  <c r="G38" i="17" s="1"/>
  <c r="H18" i="45"/>
  <c r="T28" i="3"/>
  <c r="H30" i="17" s="1"/>
  <c r="S28" i="3"/>
  <c r="D66" i="41"/>
  <c r="E66" i="41"/>
  <c r="D67" i="41"/>
  <c r="E67" i="41"/>
  <c r="D65" i="41"/>
  <c r="E65" i="41"/>
  <c r="D61" i="41"/>
  <c r="E61" i="41"/>
  <c r="D62" i="41"/>
  <c r="E62" i="41"/>
  <c r="D63" i="41"/>
  <c r="E63" i="41"/>
  <c r="D64" i="41"/>
  <c r="E64" i="41"/>
  <c r="T17" i="3"/>
  <c r="H19" i="17" s="1"/>
  <c r="S17" i="3"/>
  <c r="G19" i="17" s="1"/>
  <c r="H18" i="14"/>
  <c r="D49" i="17"/>
  <c r="H18" i="58"/>
  <c r="D56" i="41"/>
  <c r="E56" i="41"/>
  <c r="H48" i="17" l="1"/>
  <c r="I53" i="41"/>
  <c r="K53" i="41" s="1"/>
  <c r="I66" i="41"/>
  <c r="K66" i="41" s="1"/>
  <c r="H18" i="17"/>
  <c r="G37" i="17"/>
  <c r="I31" i="41"/>
  <c r="I42" i="41"/>
  <c r="K42" i="41" s="1"/>
  <c r="H34" i="17"/>
  <c r="I57" i="41"/>
  <c r="K57" i="41" s="1"/>
  <c r="H54" i="17"/>
  <c r="I48" i="41"/>
  <c r="K48" i="41" s="1"/>
  <c r="I73" i="41"/>
  <c r="K73" i="41" s="1"/>
  <c r="H37" i="17"/>
  <c r="G18" i="17"/>
  <c r="I14" i="41"/>
  <c r="I71" i="41"/>
  <c r="K71" i="41" s="1"/>
  <c r="H29" i="17"/>
  <c r="H46" i="17"/>
  <c r="I51" i="41"/>
  <c r="K51" i="41" s="1"/>
  <c r="I25" i="41"/>
  <c r="G29" i="17"/>
  <c r="H47" i="17"/>
  <c r="I52" i="41"/>
  <c r="K52" i="41" s="1"/>
  <c r="D50" i="17"/>
  <c r="D52" i="17"/>
  <c r="D53" i="17"/>
  <c r="D51" i="17"/>
  <c r="J75" i="41"/>
  <c r="S58" i="48"/>
  <c r="K56" i="41"/>
  <c r="K50" i="41"/>
  <c r="K67" i="41"/>
  <c r="T57" i="48"/>
  <c r="T67" i="48"/>
  <c r="H20" i="59"/>
  <c r="H20" i="58"/>
  <c r="D51" i="41"/>
  <c r="E51" i="41"/>
  <c r="D52" i="41"/>
  <c r="E52" i="41"/>
  <c r="D53" i="41"/>
  <c r="E53" i="41"/>
  <c r="H18" i="57"/>
  <c r="H20" i="57"/>
  <c r="H18" i="56"/>
  <c r="H18" i="55"/>
  <c r="S37" i="48"/>
  <c r="R37" i="48"/>
  <c r="S30" i="48"/>
  <c r="R30" i="48"/>
  <c r="S47" i="48"/>
  <c r="R47" i="48"/>
  <c r="S48" i="48" l="1"/>
  <c r="S31" i="48"/>
  <c r="S38" i="48"/>
  <c r="T47" i="48"/>
  <c r="H20" i="55"/>
  <c r="T25" i="3"/>
  <c r="H18" i="10"/>
  <c r="B4" i="52"/>
  <c r="H15" i="29"/>
  <c r="D47" i="17"/>
  <c r="D48" i="17"/>
  <c r="D45" i="17"/>
  <c r="D43" i="17"/>
  <c r="S25" i="3"/>
  <c r="I39" i="41" l="1"/>
  <c r="K39" i="41" s="1"/>
  <c r="I35" i="41"/>
  <c r="H8" i="17"/>
  <c r="I61" i="41"/>
  <c r="H7" i="17"/>
  <c r="I22" i="41"/>
  <c r="D46" i="17"/>
  <c r="D44" i="17"/>
  <c r="T31" i="3"/>
  <c r="H33" i="17" s="1"/>
  <c r="S31" i="3"/>
  <c r="G33"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D49" i="41"/>
  <c r="E49" i="41"/>
  <c r="D50" i="41"/>
  <c r="E50" i="41"/>
  <c r="H17" i="20"/>
  <c r="T34" i="3"/>
  <c r="H36" i="17" s="1"/>
  <c r="S34" i="3"/>
  <c r="G36" i="17" s="1"/>
  <c r="S29" i="3"/>
  <c r="G31" i="17" s="1"/>
  <c r="S26" i="3"/>
  <c r="G28" i="17" s="1"/>
  <c r="T24" i="3"/>
  <c r="H26" i="17" s="1"/>
  <c r="S24" i="3"/>
  <c r="G26" i="17" s="1"/>
  <c r="T13" i="3"/>
  <c r="S13" i="3"/>
  <c r="T12" i="3"/>
  <c r="S12" i="3"/>
  <c r="S11" i="3"/>
  <c r="S10" i="3"/>
  <c r="S9" i="3"/>
  <c r="H18" i="38"/>
  <c r="H18" i="13"/>
  <c r="H18" i="24"/>
  <c r="I21" i="41" l="1"/>
  <c r="G25" i="17"/>
  <c r="I9" i="41"/>
  <c r="G12" i="17"/>
  <c r="I10" i="41"/>
  <c r="G13" i="17"/>
  <c r="G8" i="17"/>
  <c r="I5" i="41"/>
  <c r="H15" i="17"/>
  <c r="I64" i="41"/>
  <c r="K64" i="41" s="1"/>
  <c r="G9" i="17"/>
  <c r="I6" i="41"/>
  <c r="G11" i="17"/>
  <c r="I8" i="41"/>
  <c r="I38" i="41"/>
  <c r="K38" i="41" s="1"/>
  <c r="H25" i="17"/>
  <c r="G27" i="17"/>
  <c r="I23" i="41"/>
  <c r="I26" i="41"/>
  <c r="G30" i="17"/>
  <c r="I11" i="41"/>
  <c r="G14" i="17"/>
  <c r="G35" i="17"/>
  <c r="I30" i="41"/>
  <c r="G6" i="17"/>
  <c r="I3" i="41"/>
  <c r="H14" i="17"/>
  <c r="I63" i="41"/>
  <c r="K63" i="41" s="1"/>
  <c r="H35" i="17"/>
  <c r="I72" i="41"/>
  <c r="K72" i="41" s="1"/>
  <c r="I28" i="41"/>
  <c r="G32" i="17"/>
  <c r="G7" i="17"/>
  <c r="I4" i="41"/>
  <c r="G15" i="17"/>
  <c r="I12" i="41"/>
  <c r="I41" i="41"/>
  <c r="K41" i="41" s="1"/>
  <c r="H32" i="17"/>
  <c r="K35" i="41"/>
  <c r="K61" i="41"/>
  <c r="K65" i="41"/>
  <c r="K62" i="41"/>
  <c r="H18" i="53"/>
  <c r="D39" i="41"/>
  <c r="E39" i="41"/>
  <c r="E111" i="41"/>
  <c r="D111" i="41"/>
  <c r="G93" i="17" l="1"/>
  <c r="S93" i="3" s="1"/>
  <c r="H20" i="53"/>
  <c r="D41" i="41" l="1"/>
  <c r="E41" i="41"/>
  <c r="D37" i="41"/>
  <c r="E37" i="41"/>
  <c r="D44" i="41"/>
  <c r="E44" i="41"/>
  <c r="D45" i="41"/>
  <c r="E45" i="41"/>
  <c r="D46" i="41"/>
  <c r="E46" i="41"/>
  <c r="D40" i="41"/>
  <c r="E40" i="41"/>
  <c r="D42" i="41"/>
  <c r="E42" i="41"/>
  <c r="D47" i="41"/>
  <c r="E47" i="41"/>
  <c r="D35" i="41"/>
  <c r="E35" i="41"/>
  <c r="D36" i="41"/>
  <c r="T26" i="3"/>
  <c r="H28" i="17" s="1"/>
  <c r="I40" i="41" l="1"/>
  <c r="K40" i="41" s="1"/>
  <c r="H27" i="17"/>
  <c r="T9" i="3"/>
  <c r="T40" i="3"/>
  <c r="T39" i="3"/>
  <c r="T41" i="3"/>
  <c r="H43" i="17" s="1"/>
  <c r="H18" i="52"/>
  <c r="H4" i="52"/>
  <c r="H20" i="52" s="1"/>
  <c r="G4" i="52"/>
  <c r="F4" i="52"/>
  <c r="E4" i="52"/>
  <c r="D4" i="52"/>
  <c r="C4" i="52"/>
  <c r="H18" i="51"/>
  <c r="H4" i="51"/>
  <c r="H20" i="51" s="1"/>
  <c r="G4" i="51"/>
  <c r="F4" i="51"/>
  <c r="E4" i="51"/>
  <c r="D4" i="51"/>
  <c r="C4" i="51"/>
  <c r="B4" i="51"/>
  <c r="K6" i="7"/>
  <c r="K7" i="7"/>
  <c r="K8" i="7"/>
  <c r="K10" i="7"/>
  <c r="M6" i="8" s="1"/>
  <c r="K11" i="7"/>
  <c r="K12" i="7"/>
  <c r="K13" i="7"/>
  <c r="M5" i="8"/>
  <c r="I47" i="41" l="1"/>
  <c r="K47" i="41" s="1"/>
  <c r="H42" i="17"/>
  <c r="H41" i="17"/>
  <c r="I46" i="41"/>
  <c r="K46" i="41" s="1"/>
  <c r="H11" i="17"/>
  <c r="I36" i="41"/>
  <c r="H40" i="17"/>
  <c r="I45" i="41"/>
  <c r="K45" i="41" s="1"/>
  <c r="M7" i="8"/>
  <c r="K44" i="41"/>
  <c r="J15" i="7"/>
  <c r="G5" i="7"/>
  <c r="G6" i="7"/>
  <c r="G8" i="7"/>
  <c r="G9" i="7"/>
  <c r="G10" i="7"/>
  <c r="G11" i="7"/>
  <c r="G12" i="7"/>
  <c r="G13" i="7"/>
  <c r="F15" i="7"/>
  <c r="H18" i="50"/>
  <c r="H4" i="50"/>
  <c r="H20" i="50" s="1"/>
  <c r="G4" i="50"/>
  <c r="F4" i="50"/>
  <c r="E4" i="50"/>
  <c r="D4" i="50"/>
  <c r="C4" i="50"/>
  <c r="B4" i="50"/>
  <c r="D42" i="17"/>
  <c r="T10" i="3"/>
  <c r="I37" i="41" l="1"/>
  <c r="K37" i="41" s="1"/>
  <c r="H12" i="17"/>
  <c r="H93" i="17" s="1"/>
  <c r="D40" i="17"/>
  <c r="D38" i="17"/>
  <c r="D41" i="17"/>
  <c r="D39" i="17"/>
  <c r="G15" i="7"/>
  <c r="G18" i="7" s="1"/>
  <c r="G19" i="7"/>
  <c r="K36" i="41"/>
  <c r="K15" i="7"/>
  <c r="H35" i="41" l="1"/>
  <c r="C4" i="48"/>
  <c r="C5" i="48" s="1"/>
  <c r="K18" i="7"/>
  <c r="C4" i="69"/>
  <c r="C5" i="69" s="1"/>
  <c r="T93" i="3"/>
  <c r="K75" i="41"/>
  <c r="I75" i="41"/>
  <c r="H18" i="44"/>
  <c r="H13" i="44"/>
  <c r="K20" i="7" l="1"/>
  <c r="H78" i="41"/>
  <c r="E36" i="41"/>
  <c r="E4" i="41" l="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 i="41" l="1"/>
  <c r="H4" i="46"/>
  <c r="G4" i="46"/>
  <c r="F4" i="46"/>
  <c r="E4" i="46"/>
  <c r="D4" i="46"/>
  <c r="C4" i="46"/>
  <c r="B4" i="46"/>
  <c r="H20" i="46" s="1"/>
  <c r="H4" i="45"/>
  <c r="G4" i="45"/>
  <c r="F4" i="45"/>
  <c r="E4" i="45"/>
  <c r="D4" i="45"/>
  <c r="C4" i="45"/>
  <c r="B4" i="45"/>
  <c r="H20" i="45" s="1"/>
  <c r="H4" i="44"/>
  <c r="H20" i="44" s="1"/>
  <c r="G4" i="44"/>
  <c r="F4" i="44"/>
  <c r="E4" i="44"/>
  <c r="D4" i="44"/>
  <c r="C4" i="44"/>
  <c r="B4" i="44"/>
  <c r="D37" i="17"/>
  <c r="H4" i="42"/>
  <c r="G4" i="42"/>
  <c r="F4" i="42"/>
  <c r="E4" i="42"/>
  <c r="D4" i="42"/>
  <c r="C4" i="42"/>
  <c r="B4" i="42"/>
  <c r="H20" i="42" s="1"/>
  <c r="K29" i="41" l="1"/>
  <c r="K19" i="41"/>
  <c r="K31" i="41"/>
  <c r="K26" i="41"/>
  <c r="H11" i="29"/>
  <c r="H18" i="39"/>
  <c r="H18" i="33"/>
  <c r="H18" i="37"/>
  <c r="H18" i="26"/>
  <c r="H18" i="30"/>
  <c r="H18" i="27"/>
  <c r="H18" i="22"/>
  <c r="H19" i="19"/>
  <c r="H18" i="31"/>
  <c r="H18" i="16"/>
  <c r="H18" i="21"/>
  <c r="H18" i="36"/>
  <c r="H18" i="32"/>
  <c r="H18" i="15"/>
  <c r="D31" i="17"/>
  <c r="D34" i="17"/>
  <c r="D35" i="17"/>
  <c r="D36" i="17"/>
  <c r="H4" i="40"/>
  <c r="G4" i="40"/>
  <c r="F4" i="40"/>
  <c r="E4" i="40"/>
  <c r="D4" i="40"/>
  <c r="C4" i="40"/>
  <c r="B4" i="40"/>
  <c r="H20" i="39"/>
  <c r="D33" i="17" l="1"/>
  <c r="D32" i="17"/>
  <c r="C19" i="7"/>
  <c r="K27" i="41"/>
  <c r="K18" i="41"/>
  <c r="K16" i="41"/>
  <c r="K15" i="41"/>
  <c r="K25" i="41"/>
  <c r="K14" i="41"/>
  <c r="K22" i="41"/>
  <c r="K28" i="41"/>
  <c r="K12" i="41"/>
  <c r="K21" i="41"/>
  <c r="K5" i="41"/>
  <c r="K6" i="41"/>
  <c r="K4" i="41"/>
  <c r="K23" i="41"/>
  <c r="K17" i="41"/>
  <c r="K30" i="41"/>
  <c r="K10" i="41"/>
  <c r="K24" i="41"/>
  <c r="K13" i="41"/>
  <c r="K11" i="41"/>
  <c r="K20" i="41"/>
  <c r="K7" i="41" l="1"/>
  <c r="D29" i="17"/>
  <c r="D30" i="17"/>
  <c r="H4" i="38"/>
  <c r="G4" i="38"/>
  <c r="F4" i="38"/>
  <c r="E4" i="38"/>
  <c r="D4" i="38"/>
  <c r="C4" i="38"/>
  <c r="B4" i="38"/>
  <c r="H20" i="38" s="1"/>
  <c r="D8" i="17"/>
  <c r="D9" i="17"/>
  <c r="D10" i="17"/>
  <c r="D14" i="17"/>
  <c r="D15" i="17"/>
  <c r="D18" i="17"/>
  <c r="D21" i="17"/>
  <c r="D25" i="17"/>
  <c r="D26" i="17"/>
  <c r="D27" i="17"/>
  <c r="D28" i="17"/>
  <c r="D16" i="17" l="1"/>
  <c r="D7" i="17"/>
  <c r="D22" i="17"/>
  <c r="D13" i="17"/>
  <c r="D12" i="17"/>
  <c r="D20" i="17"/>
  <c r="D11" i="17"/>
  <c r="D24" i="17"/>
  <c r="D23" i="17"/>
  <c r="D19" i="17"/>
  <c r="D17" i="17"/>
  <c r="H20" i="37"/>
  <c r="C6" i="8"/>
  <c r="C5" i="8"/>
  <c r="H10" i="34"/>
  <c r="H4" i="36"/>
  <c r="G4" i="36"/>
  <c r="F4" i="36"/>
  <c r="E4" i="36"/>
  <c r="D4" i="36"/>
  <c r="C4" i="36"/>
  <c r="B4" i="36"/>
  <c r="H20" i="36" s="1"/>
  <c r="H9" i="34"/>
  <c r="H20" i="33"/>
  <c r="H4" i="32"/>
  <c r="G4" i="32"/>
  <c r="F4" i="32"/>
  <c r="E4" i="32"/>
  <c r="D4" i="32"/>
  <c r="C4" i="32"/>
  <c r="B4" i="32"/>
  <c r="H20" i="32" s="1"/>
  <c r="K13" i="20"/>
  <c r="H14" i="20" s="1"/>
  <c r="J13" i="20"/>
  <c r="H13" i="20" s="1"/>
  <c r="H4" i="31"/>
  <c r="G4" i="31"/>
  <c r="F4" i="31"/>
  <c r="E4" i="31"/>
  <c r="D4" i="31"/>
  <c r="C4" i="31"/>
  <c r="B4" i="31"/>
  <c r="H20" i="31" s="1"/>
  <c r="H4" i="30"/>
  <c r="G4" i="30"/>
  <c r="F4" i="30"/>
  <c r="E4" i="30"/>
  <c r="D4" i="30"/>
  <c r="C4" i="30"/>
  <c r="B4" i="30"/>
  <c r="H20" i="34" l="1"/>
  <c r="H4" i="10"/>
  <c r="H4" i="12"/>
  <c r="H4" i="15"/>
  <c r="H4" i="13"/>
  <c r="H4" i="14"/>
  <c r="H20" i="16"/>
  <c r="H21" i="19"/>
  <c r="H22" i="20"/>
  <c r="H4" i="21"/>
  <c r="H20" i="22"/>
  <c r="H4" i="24"/>
  <c r="H4" i="26"/>
  <c r="H20" i="29"/>
  <c r="G4" i="26" l="1"/>
  <c r="F4" i="26"/>
  <c r="E4" i="26"/>
  <c r="D4" i="26"/>
  <c r="C4" i="26"/>
  <c r="B4" i="26"/>
  <c r="H20" i="26" s="1"/>
  <c r="B15" i="7"/>
  <c r="G4" i="24"/>
  <c r="F4" i="24"/>
  <c r="E4" i="24"/>
  <c r="D4" i="24"/>
  <c r="C4" i="24"/>
  <c r="B4" i="24"/>
  <c r="H20" i="24" s="1"/>
  <c r="G4" i="21"/>
  <c r="F4" i="21"/>
  <c r="E4" i="21"/>
  <c r="D4" i="21"/>
  <c r="C4" i="21"/>
  <c r="B4" i="21"/>
  <c r="H20" i="21" s="1"/>
  <c r="G4" i="14"/>
  <c r="F4" i="14"/>
  <c r="E4" i="14"/>
  <c r="D4" i="14"/>
  <c r="C4" i="14"/>
  <c r="B4" i="14"/>
  <c r="H20" i="14" s="1"/>
  <c r="G4" i="13"/>
  <c r="F4" i="13"/>
  <c r="E4" i="13"/>
  <c r="D4" i="13"/>
  <c r="C4" i="13"/>
  <c r="B4" i="13"/>
  <c r="H20" i="13" s="1"/>
  <c r="G4" i="15"/>
  <c r="F4" i="15"/>
  <c r="E4" i="15"/>
  <c r="D4" i="15"/>
  <c r="C4" i="15"/>
  <c r="B4" i="15"/>
  <c r="H20" i="15" s="1"/>
  <c r="G4" i="12"/>
  <c r="F4" i="12"/>
  <c r="E4" i="12"/>
  <c r="D4" i="12"/>
  <c r="C4" i="12"/>
  <c r="B4" i="12"/>
  <c r="G4" i="10"/>
  <c r="F4" i="10"/>
  <c r="E4" i="10"/>
  <c r="D4" i="10"/>
  <c r="C4" i="10"/>
  <c r="B4" i="10"/>
  <c r="H20" i="10" s="1"/>
  <c r="E6" i="17"/>
  <c r="H9" i="20"/>
  <c r="K11" i="20"/>
  <c r="K10" i="20"/>
  <c r="J11" i="20"/>
  <c r="H11" i="20" s="1"/>
  <c r="J10" i="20"/>
  <c r="H10" i="20" s="1"/>
  <c r="F4" i="89" l="1"/>
  <c r="C24" i="89" s="1"/>
  <c r="C10" i="89"/>
  <c r="C19" i="89"/>
  <c r="C14" i="89"/>
  <c r="C11" i="89"/>
  <c r="C13" i="89"/>
  <c r="C15" i="89"/>
  <c r="C18" i="89"/>
  <c r="C16" i="89"/>
  <c r="C12" i="89"/>
  <c r="C17" i="89"/>
  <c r="C19" i="69"/>
  <c r="F4" i="69"/>
  <c r="C24" i="69" s="1"/>
  <c r="C17" i="69"/>
  <c r="C18" i="69"/>
  <c r="C16" i="69"/>
  <c r="C15" i="69"/>
  <c r="D9" i="18"/>
  <c r="D14" i="18"/>
  <c r="E12" i="18"/>
  <c r="E14" i="18"/>
  <c r="D11" i="18"/>
  <c r="D13" i="18"/>
  <c r="E11" i="18"/>
  <c r="E9" i="18"/>
  <c r="E10" i="18"/>
  <c r="D10" i="18"/>
  <c r="E7" i="18"/>
  <c r="E13" i="18"/>
  <c r="D12" i="18"/>
  <c r="D7" i="18"/>
  <c r="C14" i="69"/>
  <c r="C13" i="69"/>
  <c r="C12" i="69"/>
  <c r="C11" i="69"/>
  <c r="C10" i="69"/>
  <c r="C18" i="48"/>
  <c r="C9" i="69"/>
  <c r="I6" i="8"/>
  <c r="I5" i="8"/>
  <c r="C24" i="48"/>
  <c r="C17" i="48"/>
  <c r="C16" i="48"/>
  <c r="C15" i="48"/>
  <c r="C14" i="48"/>
  <c r="C13" i="48"/>
  <c r="C12" i="48"/>
  <c r="C11" i="48"/>
  <c r="C10" i="48"/>
  <c r="K8" i="41"/>
  <c r="H12" i="20"/>
  <c r="C9" i="48"/>
  <c r="D6" i="8"/>
  <c r="C20" i="11"/>
  <c r="C19" i="11"/>
  <c r="C18" i="11"/>
  <c r="C10" i="11"/>
  <c r="C17" i="11"/>
  <c r="C9" i="11"/>
  <c r="C16" i="11"/>
  <c r="C15" i="11"/>
  <c r="C14" i="11"/>
  <c r="C13" i="11"/>
  <c r="C12" i="11"/>
  <c r="C11" i="11"/>
  <c r="D6" i="17"/>
  <c r="H14" i="18" l="1"/>
  <c r="H7" i="18"/>
  <c r="H13" i="18"/>
  <c r="H11" i="18"/>
  <c r="H12" i="18"/>
  <c r="H9" i="18"/>
  <c r="H10" i="18"/>
  <c r="C21" i="89"/>
  <c r="V92" i="3" s="1"/>
  <c r="C21" i="69"/>
  <c r="U92" i="3" s="1"/>
  <c r="P5" i="8"/>
  <c r="F6" i="18" s="1"/>
  <c r="C21" i="48"/>
  <c r="I76" i="41" s="1"/>
  <c r="N7" i="8"/>
  <c r="P6" i="8"/>
  <c r="C21" i="11"/>
  <c r="H5" i="8"/>
  <c r="H6" i="8"/>
  <c r="H10" i="13"/>
  <c r="H10" i="12"/>
  <c r="H12" i="12" s="1"/>
  <c r="H20" i="12" s="1"/>
  <c r="B6" i="8"/>
  <c r="B5" i="8"/>
  <c r="T92" i="3" l="1"/>
  <c r="I13" i="8" s="1"/>
  <c r="S92" i="3"/>
  <c r="D13" i="8" s="1"/>
  <c r="D15" i="8" s="1"/>
  <c r="Q5" i="8"/>
  <c r="I109" i="41"/>
  <c r="Q6" i="8"/>
  <c r="F15" i="18"/>
  <c r="F16" i="18" s="1"/>
  <c r="P7" i="8"/>
  <c r="G20" i="7"/>
  <c r="I32" i="41"/>
  <c r="I33" i="41" s="1"/>
  <c r="H7" i="8"/>
  <c r="D16" i="8" l="1"/>
  <c r="D17" i="8" s="1"/>
  <c r="Q7" i="8"/>
  <c r="E6" i="8"/>
  <c r="E5" i="8"/>
  <c r="F5" i="8" s="1"/>
  <c r="U5" i="8" s="1"/>
  <c r="C7" i="8"/>
  <c r="C15" i="7"/>
  <c r="G5" i="8" l="1"/>
  <c r="C18" i="7"/>
  <c r="C4" i="11"/>
  <c r="O27" i="7" l="1"/>
  <c r="G6" i="18"/>
  <c r="C5" i="11"/>
  <c r="V5" i="8" l="1"/>
  <c r="C24" i="11"/>
  <c r="D41" i="1"/>
  <c r="C23" i="48" l="1"/>
  <c r="J32" i="41"/>
  <c r="C26" i="48" l="1"/>
  <c r="C23" i="69" s="1"/>
  <c r="C26" i="69" s="1"/>
  <c r="K3" i="41"/>
  <c r="K32" i="41" s="1"/>
  <c r="L32" i="41" s="1"/>
  <c r="L73" i="41" s="1"/>
  <c r="L75" i="41" s="1"/>
  <c r="L105" i="41" s="1"/>
  <c r="L108" i="41" s="1"/>
  <c r="L135" i="41" s="1"/>
  <c r="L138" i="41" s="1"/>
  <c r="C23" i="89" l="1"/>
  <c r="C26" i="89" s="1"/>
  <c r="F6" i="8"/>
  <c r="U6" i="8" l="1"/>
  <c r="G15" i="18" s="1"/>
  <c r="S7" i="8"/>
  <c r="I16" i="8"/>
  <c r="I15" i="8"/>
  <c r="J5" i="8" s="1"/>
  <c r="D6" i="18"/>
  <c r="D15" i="18"/>
  <c r="G6" i="8"/>
  <c r="D16" i="18" l="1"/>
  <c r="G16" i="18"/>
  <c r="V6" i="8"/>
  <c r="V7" i="8" s="1"/>
  <c r="U7" i="8"/>
  <c r="J6" i="8"/>
  <c r="K6" i="8" s="1"/>
  <c r="K5" i="8"/>
  <c r="I17" i="8"/>
  <c r="C20" i="7" l="1"/>
  <c r="I7" i="8"/>
  <c r="E6" i="18"/>
  <c r="H6" i="18" s="1"/>
  <c r="L5" i="8"/>
  <c r="E15" i="18"/>
  <c r="H15" i="18" s="1"/>
  <c r="L6" i="8"/>
  <c r="D7" i="8"/>
  <c r="G7" i="8"/>
  <c r="F7" i="8"/>
  <c r="H16" i="18" l="1"/>
  <c r="E16" i="18"/>
  <c r="L7" i="8" l="1"/>
  <c r="K7"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tc={0D7C2364-F483-4882-9B78-2FE3EA78EB9B}</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M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V11" authorId="2" shapeId="0" xr:uid="{0D7C2364-F483-4882-9B78-2FE3EA78EB9B}">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
Reply:
    The split should be 75% Divinity (FRP) and 25% Student Affairs.</t>
      </text>
    </comment>
    <comment ref="M29" authorId="3"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9" authorId="4"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5"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1" authorId="6"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<sst xmlns="http://schemas.openxmlformats.org/spreadsheetml/2006/main" count="2621" uniqueCount="651">
  <si>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</si>
  <si>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</si>
  <si>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</si>
  <si>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</si>
  <si>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</si>
  <si>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</si>
  <si>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</si>
  <si>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</si>
  <si>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</si>
  <si>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</si>
  <si>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</si>
  <si>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</si>
  <si>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</si>
  <si>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</si>
  <si>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</si>
  <si>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</si>
  <si>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</si>
  <si>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</si>
  <si>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</si>
  <si>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</si>
  <si>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</si>
  <si>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</si>
  <si>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</si>
  <si>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</si>
  <si>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</si>
  <si>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</si>
  <si>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</si>
  <si>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</si>
  <si>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</si>
  <si>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</si>
  <si>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</si>
  <si>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</si>
  <si>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</si>
  <si>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</si>
  <si>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</si>
  <si>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</si>
  <si>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</si>
  <si>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</si>
  <si>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</si>
  <si>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</si>
  <si>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</si>
  <si>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</si>
  <si>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</si>
  <si>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</si>
  <si>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</si>
  <si>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</si>
  <si>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</si>
  <si>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</si>
  <si>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</si>
  <si>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</si>
  <si>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</si>
  <si>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</si>
  <si>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</si>
  <si>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</si>
  <si>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</si>
  <si>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</si>
  <si>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</si>
  <si>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</si>
  <si>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</si>
  <si>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</si>
  <si>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</si>
  <si>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</si>
  <si>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</si>
  <si>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</si>
  <si>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</si>
  <si>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</si>
  <si>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</si>
  <si>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</si>
  <si>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</si>
  <si>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</si>
  <si>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</si>
  <si>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</si>
  <si>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</si>
  <si>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</si>
  <si>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</si>
  <si>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</si>
  <si>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</si>
  <si>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</si>
  <si>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</si>
  <si>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</si>
  <si>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</si>
  <si>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</si>
  <si>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</si>
  <si>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</si>
  <si>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</si>
  <si>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</si>
  <si>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</si>
  <si>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</si>
  <si>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</si>
  <si>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</si>
  <si>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</si>
  <si>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</si>
  <si>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</si>
  <si>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</si>
  <si>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</si>
  <si>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</si>
  <si>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</si>
  <si>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</si>
  <si>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</si>
  <si>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</si>
  <si>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</si>
  <si>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</si>
  <si>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</si>
  <si>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</si>
  <si>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</si>
  <si>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</si>
  <si>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</si>
  <si>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</si>
  <si>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</si>
  <si>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</si>
  <si>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</si>
  <si>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</si>
  <si>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</si>
  <si>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</si>
  <si>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</si>
  <si>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</si>
  <si>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</si>
  <si>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</si>
  <si>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</si>
  <si>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</si>
  <si>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</si>
  <si>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</si>
  <si>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</si>
  <si>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</si>
  <si>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</si>
  <si>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</si>
  <si>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</si>
  <si>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</si>
  <si>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</si>
  <si>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</si>
  <si>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</si>
  <si>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</si>
  <si>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</si>
  <si>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</si>
  <si>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</si>
  <si>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</si>
  <si>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</si>
  <si>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</si>
  <si>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</si>
  <si>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</si>
  <si>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</si>
  <si>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</si>
  <si>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</si>
  <si>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</si>
  <si>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</si>
  <si>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</si>
  <si>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</si>
  <si>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</si>
  <si>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</si>
  <si>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</si>
  <si>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</si>
  <si>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</si>
  <si>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</si>
  <si>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</si>
  <si>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</si>
  <si>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</si>
  <si>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</si>
  <si>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</si>
  <si>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</si>
  <si>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</si>
  <si>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</si>
  <si>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</si>
  <si>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</si>
  <si>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</si>
  <si>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</si>
  <si>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</si>
  <si>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</si>
  <si>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</si>
  <si>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</si>
  <si>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</si>
  <si>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</si>
  <si>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</si>
  <si>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</si>
  <si>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</si>
  <si>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</si>
  <si>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</si>
  <si>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</si>
  <si>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</si>
  <si>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</si>
  <si>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</si>
  <si>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</si>
  <si>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</si>
  <si>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</si>
  <si>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</si>
  <si>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</si>
  <si>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</si>
  <si>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</si>
  <si>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</si>
  <si>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</si>
  <si>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</si>
  <si>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</si>
  <si>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</si>
  <si>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</si>
  <si>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</si>
  <si>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</si>
  <si>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</si>
  <si>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</si>
  <si>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</si>
  <si>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</si>
  <si>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</si>
  <si>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</si>
  <si>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</si>
  <si>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</si>
  <si>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</si>
  <si>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</si>
  <si>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</si>
  <si>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</si>
  <si>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</si>
  <si>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</si>
  <si>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</si>
  <si>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</si>
  <si>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</si>
  <si>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</si>
  <si>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</si>
  <si>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</si>
  <si>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</si>
  <si>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</si>
  <si>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</si>
  <si>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</si>
  <si>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</si>
  <si>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</si>
  <si>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</si>
  <si>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</si>
  <si>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</si>
  <si>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</si>
  <si>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</si>
  <si>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</si>
  <si>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CP_400178</t>
  </si>
  <si>
    <t>crowhus_12312022_FRP</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</si>
  <si>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</si>
  <si>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</si>
  <si>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</si>
  <si>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</si>
  <si>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</si>
  <si>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</si>
  <si>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</si>
  <si>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</si>
  <si>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</si>
  <si>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</si>
  <si>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</si>
  <si>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</si>
  <si>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</si>
  <si>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</si>
  <si>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</si>
  <si>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</si>
  <si>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</si>
  <si>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</si>
  <si>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</si>
  <si>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</si>
  <si>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</si>
  <si>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</si>
  <si>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</si>
  <si>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</si>
  <si>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</si>
  <si>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</si>
  <si>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</si>
  <si>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</si>
  <si>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</si>
  <si>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</si>
  <si>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</si>
  <si>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</si>
  <si>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</si>
  <si>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</si>
  <si>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</si>
  <si>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</si>
  <si>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</si>
  <si>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</si>
  <si>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</si>
  <si>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</si>
  <si>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</si>
  <si>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</si>
  <si>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</si>
  <si>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</si>
  <si>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</si>
  <si>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</si>
  <si>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</si>
  <si>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</si>
  <si>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</si>
  <si>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</si>
  <si>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</si>
  <si>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</si>
  <si>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</si>
  <si>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</si>
  <si>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</si>
  <si>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</si>
  <si>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</si>
  <si>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</si>
  <si>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</si>
  <si>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</si>
  <si>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</si>
  <si>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</si>
  <si>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</si>
  <si>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</si>
  <si>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</si>
  <si>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</si>
  <si>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</si>
  <si>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</si>
  <si>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</si>
  <si>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</si>
  <si>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</si>
  <si>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</si>
  <si>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</si>
  <si>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</si>
  <si>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</si>
  <si>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</si>
  <si>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</si>
  <si>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</si>
  <si>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</si>
  <si>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</si>
  <si>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</si>
  <si>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</si>
  <si>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</si>
  <si>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</si>
  <si>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</si>
  <si>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</si>
  <si>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</si>
  <si>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</si>
  <si>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</si>
  <si>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</si>
  <si>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</si>
  <si>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</si>
  <si>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</si>
  <si>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</si>
  <si>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</si>
  <si>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</si>
  <si>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</si>
  <si>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</si>
  <si>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</si>
  <si>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</si>
  <si>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</si>
  <si>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</si>
  <si>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</si>
  <si>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</si>
  <si>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</si>
  <si>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DB:</t>
  </si>
  <si>
    <t>CR:</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</si>
  <si>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</si>
  <si>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</si>
  <si>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</si>
  <si>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</si>
  <si>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</si>
  <si>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</si>
  <si>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</si>
  <si>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</si>
  <si>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</si>
  <si>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</si>
  <si>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</si>
  <si>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</si>
  <si>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</si>
  <si>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</si>
  <si>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</si>
  <si>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</si>
  <si>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</si>
  <si>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</si>
  <si>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</si>
  <si>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</si>
  <si>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</si>
  <si>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</si>
  <si>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</si>
  <si>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</si>
  <si>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</si>
  <si>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</si>
  <si>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</si>
  <si>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Frist Hall - Stairwell Roof Replacement</t>
  </si>
  <si>
    <t>Programming or Planning</t>
  </si>
  <si>
    <t>Blair School of Music - AHU 2/3 Replacement  - Phase 2 - FY26</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</si>
  <si>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</si>
  <si>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</si>
  <si>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</si>
  <si>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</si>
  <si>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</si>
  <si>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</si>
  <si>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</si>
  <si>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</si>
  <si>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</si>
  <si>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</si>
  <si>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</si>
  <si>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</si>
  <si>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</si>
  <si>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</si>
  <si>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</si>
  <si>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</si>
  <si>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</si>
  <si>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</si>
  <si>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</si>
  <si>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</si>
  <si>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</si>
  <si>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</si>
  <si>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Project is in closeout</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</si>
  <si>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</si>
  <si>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</si>
  <si>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</si>
  <si>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</si>
  <si>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</si>
  <si>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</si>
  <si>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</si>
  <si>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</si>
  <si>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</si>
  <si>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JE LOG_FY25'!A1</t>
  </si>
  <si>
    <t xml:space="preserve">FY24 FRP funding </t>
  </si>
  <si>
    <t>FY24 FRP</t>
  </si>
  <si>
    <t>FY25 
Contribution</t>
  </si>
  <si>
    <t>FY25</t>
  </si>
  <si>
    <t>FY25 FRP</t>
  </si>
  <si>
    <t>Contribution vs. FY25 FRP funding</t>
  </si>
  <si>
    <t xml:space="preserve">FY23 Funded 
Projects </t>
  </si>
  <si>
    <t>FY24 Funded Projects</t>
  </si>
  <si>
    <t>FY24 FRP Funding</t>
  </si>
  <si>
    <t>FY25 FRP Funding</t>
  </si>
  <si>
    <t>crowhus_07312024_FRP</t>
  </si>
  <si>
    <t>Godchaux Hall - HVAC Upgrade</t>
  </si>
  <si>
    <t>1025 16TH AVE GARAGE</t>
  </si>
  <si>
    <t>1025 16th Avenue - Patio Repairs</t>
  </si>
  <si>
    <t>SC5 - HVAC Replacement (Design Services)</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</si>
  <si>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</si>
  <si>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</si>
  <si>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</si>
  <si>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</si>
  <si>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</si>
  <si>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</si>
  <si>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07/29/2024 work is complete</t>
  </si>
  <si>
    <t>On hold per FRP 07/24/2024 until summer of 2026</t>
  </si>
  <si>
    <t>crowhus_08312024_FRP</t>
  </si>
  <si>
    <t>Blair School of Music - AHU - 1 Replacement - Phase 1 - FY25</t>
  </si>
  <si>
    <r>
      <t xml:space="preserve">Facility Renewal Program: </t>
    </r>
    <r>
      <rPr>
        <b/>
        <i/>
        <sz val="11"/>
        <color theme="1"/>
        <rFont val="Calibri"/>
        <family val="2"/>
        <scheme val="minor"/>
      </rPr>
      <t>Contributions - FY26</t>
    </r>
  </si>
  <si>
    <t>College of Connected Computing</t>
  </si>
  <si>
    <t>09/26/2024 Project is in library closeout. Will complete financial closeout after.</t>
  </si>
  <si>
    <t>crowhus_09302024_FRP</t>
  </si>
  <si>
    <t>12100 - Arts and Science: Business Affairs</t>
  </si>
  <si>
    <t>crowhus_10312024_FRP</t>
  </si>
  <si>
    <t>CP_400282</t>
  </si>
  <si>
    <t>CP_400291</t>
  </si>
  <si>
    <t>MRBIII - 5th Floor Controls</t>
  </si>
  <si>
    <t>Notes about upcoming planning</t>
  </si>
  <si>
    <t>11/25/2024 Project in FX</t>
  </si>
  <si>
    <t>04/23/2024 Project is complete.</t>
  </si>
  <si>
    <t>08/23/2024 VUMO is managing this project.  CPC is helping with the PO/financial process.</t>
  </si>
  <si>
    <t>11/26/2024 Construction is complete.  Waiting on the final invoice to begin the closeout process.</t>
  </si>
  <si>
    <t>11/25/2024 We are awaiting TAB and other reports from Nashville Machine, then we will put into FX.</t>
  </si>
  <si>
    <t>09/24/2024 This is FY 26 project.   No updates to provide yet.  Project not started.</t>
  </si>
  <si>
    <t>09/24/2024 Project not started.  this is an FY28 project.</t>
  </si>
  <si>
    <t>09/24/2024 Project not started.  This is an FY29 project.</t>
  </si>
  <si>
    <t>crowhus_12312024_FRP</t>
  </si>
  <si>
    <t>eB #</t>
  </si>
  <si>
    <t>crowhus_01312025_FRP</t>
  </si>
  <si>
    <t>SC MOLEC BIOLOGY</t>
  </si>
  <si>
    <t>SC2 - MEP Feasibility Study</t>
  </si>
  <si>
    <t>Active</t>
  </si>
  <si>
    <t>Buttrick Hall - Insulate First Floor Slab</t>
  </si>
  <si>
    <t>OLIN HALL</t>
  </si>
  <si>
    <t>Olin Hall - Exterior Facade Cleaning</t>
  </si>
  <si>
    <t>SC MATH</t>
  </si>
  <si>
    <t>SC1 - MEP Feasibility Study</t>
  </si>
  <si>
    <t>Godchaux Hall - Replace Fire Pump</t>
  </si>
  <si>
    <t>1025 16th Avenue - Electrical and HVAC Study</t>
  </si>
  <si>
    <t>MRBIII - Lecture Hall V1220 Lighting Upgrade</t>
  </si>
  <si>
    <t>MRBIII - Chemical Discharge Tank Replacement</t>
  </si>
  <si>
    <t>Project Status</t>
  </si>
  <si>
    <t>Complete</t>
  </si>
  <si>
    <t>Deferred / On Hold</t>
  </si>
  <si>
    <t>Featheringill-Jacobs Hall - Hot Water Tank Replacement</t>
  </si>
  <si>
    <t>CP_400312</t>
  </si>
  <si>
    <t>CP_400314</t>
  </si>
  <si>
    <t>CP_400311</t>
  </si>
  <si>
    <t>CP_400313</t>
  </si>
  <si>
    <t>crowhus_02282025_FRP</t>
  </si>
  <si>
    <t>MRBIII - Cooling Tower Overhaul</t>
  </si>
  <si>
    <t>03/25/2025 Construction complete and inspection passed.  Waiting on invoices to clear to begin the closeout process.</t>
  </si>
  <si>
    <t>crowhus_03312025_FRP</t>
  </si>
  <si>
    <t>crowhus_04302025_FRP</t>
  </si>
  <si>
    <t>04/23/2025 Awaiting final invoice to clear to begin the close out process</t>
  </si>
  <si>
    <t>04/23/2025 Project is complete.  Waiting on final invoices to clear to begin the closeout process.</t>
  </si>
  <si>
    <t>04/29/2025 Project in closeout</t>
  </si>
  <si>
    <t>crowhus_05312025_FRP</t>
  </si>
  <si>
    <t>CP_400326</t>
  </si>
  <si>
    <t>CP_400330</t>
  </si>
  <si>
    <t>Kylie Mignoli</t>
  </si>
  <si>
    <t>Law School - Roof Ladders</t>
  </si>
  <si>
    <t>05/22/2025 Project complete.</t>
  </si>
  <si>
    <t>05/22/2025 Construction complete and inspection passed.  Invoices are cleared.  Financial closeout process has started.</t>
  </si>
  <si>
    <t>05/22/2025 Project complete...</t>
  </si>
  <si>
    <t>05/23/2025 New disconnect is installed, with conduit and wire ran back to the elec. room. UO scheduled for June 3 which will likely be last piece of the project. Old HX demo is complete, and the new water heater was placed into the Basement 5/21. Piping work is ongoing.</t>
  </si>
  <si>
    <t>05/28/2025 Scheduled for early June completion.</t>
  </si>
  <si>
    <t>FY 2027</t>
  </si>
  <si>
    <t>FY 2028</t>
  </si>
  <si>
    <t>FY 2029</t>
  </si>
  <si>
    <t>FY 2030</t>
  </si>
  <si>
    <t>FY 2031</t>
  </si>
  <si>
    <t>Benson Old Central (16)</t>
  </si>
  <si>
    <t>17Th &amp; Horton (557)</t>
  </si>
  <si>
    <t>Buttrick Hall (24)</t>
  </si>
  <si>
    <t>Furman Hall (15)</t>
  </si>
  <si>
    <t>Law School (13)</t>
  </si>
  <si>
    <t>Sc Molec Biology (Sc2)</t>
  </si>
  <si>
    <t>Wilson Hall (125)</t>
  </si>
  <si>
    <t>Divinity (19)</t>
  </si>
  <si>
    <t>Reading Room (124) Roof - Replace existing roof;</t>
  </si>
  <si>
    <t>Engineering effort to determine best solution for MEP upgrades</t>
  </si>
  <si>
    <t>Godchaux Hall (22)</t>
  </si>
  <si>
    <t>Remove and replace 5th and 6th floor roofs. Include area used as patio on the 6th floor (5th floor roof)</t>
  </si>
  <si>
    <t>Phase 2 of 3: Replace (50) Induction/VAV boxes - entire building</t>
  </si>
  <si>
    <t>Sc Science &amp; Engineering (Sc5)</t>
  </si>
  <si>
    <t>Phase 2 of 4: Floors 4, 5 and 7; Replace all room induction/FCU units and fume hood controllers</t>
  </si>
  <si>
    <t>Eliminate Steam station in South basement equipment room; Connect to central utilities hot water loop</t>
  </si>
  <si>
    <t>Engineering effort resulting in construction documents for replacement of electrical service and replacement of the fire alarm.</t>
  </si>
  <si>
    <t>Blair School Of Music (135)</t>
  </si>
  <si>
    <t>Elevator 2 Modernization</t>
  </si>
  <si>
    <t>Calhoun Hall (17)</t>
  </si>
  <si>
    <t>Engineering effort to determine best solution for replacement of AHU-1 and AHU-2</t>
  </si>
  <si>
    <t>Frist Hall (239)</t>
  </si>
  <si>
    <t>Complete replacement of Fire alarm panel and devices</t>
  </si>
  <si>
    <t>AHU-2: Complete replacement of Air Handling Unit including associated piping, valves and controls</t>
  </si>
  <si>
    <t>Phase 3:  Replacement of FCUs from 5th floor down through the Basement. (Includes integration of new FCUs into the BAS system)</t>
  </si>
  <si>
    <t>Hobbs Hdl (160)</t>
  </si>
  <si>
    <t>Dock lift Elevator Complete modernization (Controls, fixtures, door equipment, power unit, car enclosure, etc.)</t>
  </si>
  <si>
    <t>Keck Free Electron Laser Ctr (186)</t>
  </si>
  <si>
    <t>Freight Elevator (#2) Modernization</t>
  </si>
  <si>
    <t>North West Side 2nd floor entrance; Remove and replace existing patio stone with poured concrete</t>
  </si>
  <si>
    <t>Mrb Iii Bio/Sci (23C)</t>
  </si>
  <si>
    <t>Phase 5 of 9: 7th Floor Phoenix Controls hardware replacement for lab fume hoods</t>
  </si>
  <si>
    <t>Peabody Administration (138)</t>
  </si>
  <si>
    <t>Elevator 1; Complete modernization (Controls, fixtures, door equipment, power unit, etc.)</t>
  </si>
  <si>
    <t>Sc Chemistry (Sc7)</t>
  </si>
  <si>
    <t>Feasibility Study / Engineering Study to determine best HVAC replacement solution for the 4 main AHUs; Budget: $100k; Project should result in conceptual design including project phasing and conceptual budget.</t>
  </si>
  <si>
    <t>Sc Math (Sc1)</t>
  </si>
  <si>
    <t>Phase 3 of 3: Replace (50) Induction/VAV boxes - entire building</t>
  </si>
  <si>
    <t>HVAC retro commission to determine scope and funding needed to address HVAC calls throughout the building.</t>
  </si>
  <si>
    <t>Placeholder project to replace AHU-1/AHU-2 resulting from the engineering effort (project 8262)</t>
  </si>
  <si>
    <t>Replace existing instantaneous water heater</t>
  </si>
  <si>
    <t>Elevator modernization-Complete modernization (Controls, fixtures, door equipment, power unit, etc.)</t>
  </si>
  <si>
    <t>Godchaux Nursing Annex (131)</t>
  </si>
  <si>
    <t>AC-3 and Return fan; Refurbish existing equipment with new pan liners, coil, fan wall assembly, remove and replace existing controls</t>
  </si>
  <si>
    <t>Elevator 2; Complete modernization (Controls, fixtures, door equipment, power unit, etc.)</t>
  </si>
  <si>
    <t>Feasibility Study / Engineering effort to determine scope, construction documents and budget pricing for replacement of Air Handling Units and VAV Boxes.</t>
  </si>
  <si>
    <t>Phase 6 of 9: 6th Floor Phoenix Controls hardware replacement for lab fume hoods</t>
  </si>
  <si>
    <t>Replace 10 existing FCUs throughout the building and 1 existing RTU (DOAS) unit on the roof and existing exhaust fan.</t>
  </si>
  <si>
    <t>Phase 1 of 5 - Floor 9 - Upgrade fume hood controllers, HVAC distribution boxes and controls</t>
  </si>
  <si>
    <t>Remove and replace one (1) existing exhaust fan (EF-VA-1) for laboratory</t>
  </si>
  <si>
    <t>Remove and replace one (1) existing fans for bathroom exhaust</t>
  </si>
  <si>
    <t>Replace all fan coils in all applicable rooms.</t>
  </si>
  <si>
    <t>AHU 2-3: Replace AHU including all associated piping, valves and controls (1st Floor Unit)</t>
  </si>
  <si>
    <t>Phase 4 of 4: Floors 8 and 9; Replace all room induction/FCU units and fume hood controllers</t>
  </si>
  <si>
    <t>1025 16Th Ave S (288)</t>
  </si>
  <si>
    <t>Complete replacement of fire panel and devices.</t>
  </si>
  <si>
    <t>AHU-1: Complete replacement of Air Handling Unit including associated piping, valves and controls.</t>
  </si>
  <si>
    <t>Complete system replacement including fire panel and all devices;</t>
  </si>
  <si>
    <t>3rd floor roof over west addition (Section 5) next to 4th floor penthouse; Replace roof</t>
  </si>
  <si>
    <t>4th floor over rehearsal hall, Replace roof; Section 4</t>
  </si>
  <si>
    <t>Roof replacement-2001 addition; West side of building (4th floor penthouse); Section 6</t>
  </si>
  <si>
    <t>Phase 4:  Replacement of Basement AHU (Servicing Basement through 3rd Floor) and Complete needed renovations to Steam/HW plant to accommodate future HW utilities</t>
  </si>
  <si>
    <t>Elevator #3; Complete modernization (Controls, fixtures, door equipment, power unit, etc.)</t>
  </si>
  <si>
    <t>Phase 7 of 9: 5th Floor Phoenix Controls hardware replacement for lab fume hoods</t>
  </si>
  <si>
    <t>Replace electrical switch gear; transformers and electrical panels throughout building; upsize to meet current need</t>
  </si>
  <si>
    <t>Phase 2 of 5 - Floor 8 - Upgrade fume hood controllers, HVAC distribution boxes and controls</t>
  </si>
  <si>
    <t>Wyatt Center (142)</t>
  </si>
  <si>
    <t>Placeholder for HVAC upgrades in the Old side of the building; Replacement of existing Magic Air units and AHU-1Engineering services to determine best solution for replacement of existing Magic Aire FCUs, AHU-1, AHU-3 and AHU-4</t>
  </si>
  <si>
    <t>AHU-2: Complete replacement of Air Handling Unit including associated piping, valves and controls.</t>
  </si>
  <si>
    <t>Phase 1 of 3 - 1st floor; Retrofit existing light fixtures to LED, install lighting controls and replace original VAV boxes including associated controls and control valves.</t>
  </si>
  <si>
    <t>E. Bronson Ingram Studio Arts (268)</t>
  </si>
  <si>
    <t>Replacement of existing controls in VAVs, AHUs and major equipment</t>
  </si>
  <si>
    <t>Upgrade / Add lighting to have more adequate lighting for current building usage.</t>
  </si>
  <si>
    <t>Featheringill-Jacobs Hall (27)</t>
  </si>
  <si>
    <t>Elevator 1 &amp; 2; Complete modernization</t>
  </si>
  <si>
    <t>Elevator #1 modernization</t>
  </si>
  <si>
    <t>Fall Protection; Replace, relocate and install new Fall protection at various locations.</t>
  </si>
  <si>
    <t>Remove and replace roof sections 2, 4, and 6</t>
  </si>
  <si>
    <t>Elevators #1 - #4 Modernization; Cars #1-4 have to be modernized together since they operate as a group. Complete modernization (Controls, fixtures, door equipment, hoist way equipment, machine, etc.)</t>
  </si>
  <si>
    <t>Phase 3 of 5 - Floor 7 - Upgrade fume hood controllers, HVAC distribution boxes and controls</t>
  </si>
  <si>
    <t>Phase 1 of 2 - Replace AHU-3, distribution terminal boxes and controls in each space</t>
  </si>
  <si>
    <t>crowhus_06302025_FRP</t>
  </si>
  <si>
    <t>CALHOUN HALL</t>
  </si>
  <si>
    <t>Calhoun Hall - MEP Feasibility Study</t>
  </si>
  <si>
    <t>Furman Hall - MEP Feasibility Study</t>
  </si>
  <si>
    <t>Law School - MEP Feasibility Study</t>
  </si>
  <si>
    <t>Olin Hall 2nd Floor Chiller</t>
  </si>
  <si>
    <t>Construction Closeout</t>
  </si>
  <si>
    <t>Law School - Electrical Gear Replacement - FY23 FR</t>
  </si>
  <si>
    <t>2/13/23 This project has been placed in a deferred status while we wait for an electrical master plan to be completed. See email in documents folder for more details.</t>
  </si>
  <si>
    <t>06/25/2025 Final walkthrough scheduled for July 3rd with VUMO, envision and Sylvan.</t>
  </si>
  <si>
    <t>06/25/2025 Walkthrough has been completed and all punch items are finished, except sequencing. JCI was contacted to do the work but they are forwarding it to the JCI staff who work at the university. This is the last bit of programming and then project can be closed out.</t>
  </si>
  <si>
    <t>06/24/2025 Project is in closeout</t>
  </si>
  <si>
    <t>Project is deferred to late 2026. We do not currently have funding in A&amp;S for this project.</t>
  </si>
  <si>
    <t>Project is being deferred to late 2026. We do not currently have A&amp;S budget to cover this project.</t>
  </si>
  <si>
    <t>Project is being deferred to FY27, as project start will not be until FY28</t>
  </si>
  <si>
    <t>FY25 Funded Projects</t>
  </si>
  <si>
    <t>FY26 FRP Transferred</t>
  </si>
  <si>
    <t>FY26 FRP Total Contribution</t>
  </si>
  <si>
    <t xml:space="preserve"> FY23 - FY26 Cumulative Contribution</t>
  </si>
  <si>
    <t xml:space="preserve">FY25 FRP funding </t>
  </si>
  <si>
    <t>FY26
Contribution</t>
  </si>
  <si>
    <t xml:space="preserve">FY26 FRP funding </t>
  </si>
  <si>
    <t>FY26 FRP</t>
  </si>
  <si>
    <t>Contribution vs. FY26 FRP funding</t>
  </si>
  <si>
    <t>FY26 FRP Funding</t>
  </si>
  <si>
    <t>eBuilder Proj No</t>
  </si>
  <si>
    <t>FY26 Funded Projects</t>
  </si>
  <si>
    <t>FY26</t>
  </si>
  <si>
    <r>
      <t xml:space="preserve">Facility Renewal Program: </t>
    </r>
    <r>
      <rPr>
        <b/>
        <i/>
        <sz val="11"/>
        <color theme="1"/>
        <rFont val="Calibri"/>
        <family val="2"/>
        <scheme val="minor"/>
      </rPr>
      <t>Contributions - FY27</t>
    </r>
  </si>
  <si>
    <t>JE LOG_FY26'!A1</t>
  </si>
  <si>
    <t>crowhus_07312025_FRP</t>
  </si>
  <si>
    <t>CP_400337</t>
  </si>
  <si>
    <t>CP_400334</t>
  </si>
  <si>
    <t>CP_400332</t>
  </si>
  <si>
    <t>20100 - Owen: Business Affairs</t>
  </si>
  <si>
    <t>17000 - Law School: Office of the Dean</t>
  </si>
  <si>
    <t>Godchaux Hall - Phase 2 HVAC Upgrades and Roof Replacement</t>
  </si>
  <si>
    <t>SC2 Restroom Upgrades</t>
  </si>
  <si>
    <t>Daniel Capparella</t>
  </si>
  <si>
    <t>Wyatt Center Rotunda Repairs</t>
  </si>
  <si>
    <t>07/29/2025 Going to put project on hold.  Moving to 8th floor as priority.</t>
  </si>
  <si>
    <t>crowhus_08312025_FRP</t>
  </si>
  <si>
    <t>Dean of Students</t>
  </si>
  <si>
    <t>Ross Baggay</t>
  </si>
  <si>
    <t>Blair School of Music - AHU-1 Distribution HVAC Replacement</t>
  </si>
  <si>
    <t>Blair School of Music - AHU-2/3 HVACE Distribution Replacement</t>
  </si>
  <si>
    <t>17TH &amp; HORTON</t>
  </si>
  <si>
    <t>17th &amp; Horton Elevators Modernization</t>
  </si>
  <si>
    <t>Buttrick Hall - Restore / Replace Exterior Wood Doors and Closures</t>
  </si>
  <si>
    <t>Law School Partial Roof Replacement</t>
  </si>
  <si>
    <t>Law School Walkway Replacement</t>
  </si>
  <si>
    <t>SC2 Molecular Biology HVAC Replacement</t>
  </si>
  <si>
    <t>Wilson Hall - Air Compressor Replacement</t>
  </si>
  <si>
    <t>Blair School Legacy VAV Replacement</t>
  </si>
  <si>
    <t>08/28/2025 Project Complete.</t>
  </si>
  <si>
    <t>08/29/2025 Door hardware replacement is still not completed; once complete the project will be closed out.</t>
  </si>
  <si>
    <t>08/28/2025 AHU shop drawings received....Distributed to the team for review.
To be discussed at the 08/04 OAC for approval for fabrication.  
Drawings still in review.</t>
  </si>
  <si>
    <t>08/28/2025 AHU installation completed.  Waiting for outdoor air sensor to arrive next week.  System is currently up and running, space is conditioned and running well.   Temp unit has been removed and all construction fencing is removed.</t>
  </si>
  <si>
    <t>08/29/2025 Work has finished work on 3rd floor and occupants are back in their space. Burns is currently working on the demolition of existing duct and duct reinstallation on the 2nd and 4th floor. We will be having two crane lifts next month. The first for the steel for the AHU structure and the second for the AHU. This should be completed by the end of September. They will move into the 1st floor work mid September.</t>
  </si>
  <si>
    <t>08/26/2025 We are awaiting definitive plans from the CUI project to determine where our chilled water connection will be. If hot water goes past the building as part of CUI we will rework the design to include hot water connection.</t>
  </si>
  <si>
    <t>08/28/2025 Project in full swing with replacement of venturi valves and controls system.  Project is 30% completed.  Some issues with routing of new ductwork arose, working through with the engineer and VUMO.</t>
  </si>
  <si>
    <t>08/28/2025 Moving through LC process. no change from last month.</t>
  </si>
  <si>
    <t>08/26/2025 Demo is complete, and we are beginning to build back. We have CMU installed for the doghouse over the exhaust vent duct. Conduit has been moved and capped where needed. A concrete wall has been poured. Location if the drains are confirmed and we have a plan to slope to drains correctly. Lighting design has been approved and priced out, its within our budget but will need to wait till the end of the project. We will start membrane installation in early September, and start to pour topping slab in mid to late september. Will eb workign around the HVAC crane lifts.</t>
  </si>
  <si>
    <t>08/26/2025 Complete.  Working through punchlist items.  Waiting on invoices to clear and one year review.</t>
  </si>
  <si>
    <t>08/26/2025 Construction complete and inspection passed.  Waiting on invoices to clear to begin the closeout process.</t>
  </si>
  <si>
    <t>08/28/2025 Moved to library closeout.  waiting on closeout documents from contractor.  No change from last month.</t>
  </si>
  <si>
    <t>08/28/2025 Shop drawings approved, PO issued, will be moving forward with equipment order immediately.</t>
  </si>
  <si>
    <t>08/28/2025 Project completed.  Moving to Library Closeout.  No change from last month.</t>
  </si>
  <si>
    <t>Elevator is up and running after state inspection.  The handrail was accidentally disposed of during painting and is currently being manufactured.  The flooring for the elevator is to be installed during that time.  Once those items are complete, Lerch Bates will conduct final inspection.</t>
  </si>
  <si>
    <t>08/26/2025 Met with VUMO and A&amp;S to which we determined that the building is not on the historical registry.  We are going to proceed with pricing for the roof to be replaced with a shingle roof.  Interior gutters will be removed and installed on the exterior.  We also added the replacement of the underground drain lines for the house.  Summer 2026 work.</t>
  </si>
  <si>
    <t>08/26/2025 Construction is scheduled to start in October after mechanical work is complete.</t>
  </si>
  <si>
    <t>08/28/2025 Pushing this work to FY 25/26, summer '26.  Equipment is on order.</t>
  </si>
  <si>
    <t>08/26/2025 Project complete.</t>
  </si>
  <si>
    <t>08/26/2025 We have reviewed AEIs draft study with A&amp;S and assets. We are awaiting a few other conversations on the future of these buildings before giving AEI a direction for a final report.</t>
  </si>
  <si>
    <t>08/28/2025 We have received approval to combine this project with a roof replacement set for FY 27. Roof scope of work is being collected now and will be combined with existing drawings and scope. Rooftop enclosure plan was approved by the building, and we will make sure the enclosure and roof replacement compliment one another.</t>
  </si>
  <si>
    <t>08/26/2025 Construction Complete.  Awaiting final invoice to begin closeout process</t>
  </si>
  <si>
    <t>08/26/2025 Pre-construction meeting with VUMO and occupants completed in August. Impact should be minimal based on conversations with the contractor. Due to shipping delays we will start install first week of September.</t>
  </si>
  <si>
    <t>08/28/2025 Scheduling work for winter break.</t>
  </si>
  <si>
    <t>08/28/2025 Waiting ship date for equipment before coordinating any shut downs.</t>
  </si>
  <si>
    <t>08/28/2025 PO issued.  VUMO is ok with work starting immediately.  9/8 update, Obrien Equipment has 12 lead time for materials, planning on starting Nov. 6th.</t>
  </si>
  <si>
    <t>09/03/2025 Orion Construction will manage this work alongside their efforts for Olin Hall lab renovations. Proposal has been received and submitted for PO.</t>
  </si>
  <si>
    <t>New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</si>
</sst>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 numFmtId="170" formatCode="_(* #,##0_);_(* \(#,##0\);_(* &quot;-&quot;?_);_(@_)"/>
  </numFmts>
  <fonts count="40"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
      <strike/>
      <sz val="11"/>
      <color theme="9" tint="-0.249977111117893"/>
      <name val="Calibri"/>
      <family val="2"/>
      <scheme val="minor"/>
    </font>
    <font>
      <b/>
      <sz val="11"/>
      <name val="Calibri"/>
      <family val="2"/>
      <scheme val="minor"/>
    </font>
    <font>
      <sz val="11"/>
      <color theme="9"/>
      <name val="Calibri"/>
      <family val="2"/>
      <scheme val="minor"/>
    </font>
    <font>
      <sz val="11"/>
      <color rgb="FF006699"/>
      <name val="Calibri"/>
      <family val="2"/>
      <scheme val="minor"/>
    </font>
    <font>
      <i/>
      <sz val="11"/>
      <color rgb="FF006699"/>
      <name val="Calibri"/>
      <family val="2"/>
      <scheme val="minor"/>
    </font>
  </fonts>
  <fills count="40">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
      <patternFill patternType="solid">
        <fgColor theme="3" tint="0.39997558519241921"/>
        <bgColor indexed="64"/>
      </patternFill>
    </fill>
    <fill>
      <patternFill patternType="solid">
        <fgColor rgb="FFFFCCFF"/>
        <bgColor indexed="64"/>
      </patternFill>
    </fill>
  </fills>
  <borders count="1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4"/>
    <xf numFmtId="0" fontId="1" fillId="0" borderId="0"/>
  </cellStyleXfs>
  <cellXfs count="304">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0" fontId="12" fillId="0" borderId="0" xfId="0" applyFont="1" applyAlignment="1">
      <alignment horizontal="left"/>
    </xf>
    <xf numFmtId="168" fontId="2" fillId="33" borderId="0" xfId="4" applyNumberFormat="1" applyFont="1" applyFill="1" applyAlignment="1">
      <alignment horizontal="center" wrapText="1"/>
    </xf>
    <xf numFmtId="165" fontId="6" fillId="33" borderId="0" xfId="4" applyNumberFormat="1" applyFont="1" applyFill="1"/>
    <xf numFmtId="165" fontId="0" fillId="34" borderId="0" xfId="2" applyNumberFormat="1" applyFont="1" applyFill="1"/>
    <xf numFmtId="164" fontId="0" fillId="34" borderId="0" xfId="1" applyNumberFormat="1" applyFont="1" applyFill="1"/>
    <xf numFmtId="165" fontId="0" fillId="35" borderId="0" xfId="2" applyNumberFormat="1" applyFont="1" applyFill="1"/>
    <xf numFmtId="164" fontId="0" fillId="35"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5"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5" borderId="0" xfId="1" applyNumberFormat="1" applyFont="1" applyFill="1" applyAlignment="1">
      <alignment horizontal="right"/>
    </xf>
    <xf numFmtId="44" fontId="2" fillId="33" borderId="0" xfId="2" applyFont="1" applyFill="1" applyAlignment="1">
      <alignment horizontal="center" wrapText="1"/>
    </xf>
    <xf numFmtId="165" fontId="6" fillId="33" borderId="0" xfId="2" applyNumberFormat="1" applyFont="1" applyFill="1"/>
    <xf numFmtId="165" fontId="0" fillId="34" borderId="0" xfId="2" applyNumberFormat="1" applyFont="1" applyFill="1" applyAlignment="1">
      <alignment horizontal="right"/>
    </xf>
    <xf numFmtId="164" fontId="0" fillId="34" borderId="0" xfId="1" applyNumberFormat="1" applyFont="1" applyFill="1" applyAlignment="1">
      <alignment horizontal="right"/>
    </xf>
    <xf numFmtId="44" fontId="0" fillId="0" borderId="0" xfId="2" applyFont="1" applyBorder="1"/>
    <xf numFmtId="0" fontId="35" fillId="0" borderId="0" xfId="0" applyFont="1" applyAlignment="1">
      <alignment horizontal="center" vertical="center"/>
    </xf>
    <xf numFmtId="164" fontId="3" fillId="36" borderId="6" xfId="1" applyNumberFormat="1" applyFont="1" applyFill="1" applyBorder="1" applyAlignment="1">
      <alignment horizontal="right" vertical="center" readingOrder="1"/>
    </xf>
    <xf numFmtId="164" fontId="28" fillId="36" borderId="6" xfId="1" applyNumberFormat="1" applyFont="1" applyFill="1" applyBorder="1" applyAlignment="1">
      <alignment horizontal="right" vertical="center" readingOrder="1"/>
    </xf>
    <xf numFmtId="164" fontId="4" fillId="36" borderId="1" xfId="1" applyNumberFormat="1" applyFont="1" applyFill="1" applyBorder="1" applyAlignment="1">
      <alignment vertical="center"/>
    </xf>
    <xf numFmtId="164" fontId="6" fillId="37" borderId="0" xfId="1" applyNumberFormat="1" applyFont="1" applyFill="1" applyBorder="1" applyAlignment="1">
      <alignment horizontal="center" vertical="center" wrapText="1" readingOrder="1"/>
    </xf>
    <xf numFmtId="0" fontId="32" fillId="11" borderId="0" xfId="0" applyFont="1" applyFill="1" applyAlignment="1">
      <alignment horizontal="center"/>
    </xf>
    <xf numFmtId="164" fontId="32" fillId="11" borderId="0" xfId="0" applyNumberFormat="1" applyFont="1" applyFill="1"/>
    <xf numFmtId="44" fontId="1" fillId="0" borderId="0" xfId="2" applyFont="1"/>
    <xf numFmtId="0" fontId="4" fillId="0" borderId="0" xfId="0" applyFont="1" applyAlignment="1">
      <alignment horizontal="left" indent="1"/>
    </xf>
    <xf numFmtId="14" fontId="4" fillId="0" borderId="0" xfId="0" applyNumberFormat="1" applyFont="1"/>
    <xf numFmtId="44" fontId="4" fillId="0" borderId="0" xfId="2" applyFont="1" applyFill="1"/>
    <xf numFmtId="49" fontId="36" fillId="0" borderId="0" xfId="6" applyFont="1" applyFill="1">
      <protection locked="0"/>
    </xf>
    <xf numFmtId="170" fontId="0" fillId="0" borderId="0" xfId="0" applyNumberFormat="1"/>
    <xf numFmtId="164" fontId="37" fillId="0" borderId="0" xfId="1" applyNumberFormat="1" applyFont="1"/>
    <xf numFmtId="0" fontId="21" fillId="0" borderId="0" xfId="0" applyFont="1"/>
    <xf numFmtId="0" fontId="3" fillId="7" borderId="6" xfId="0" applyFont="1" applyFill="1" applyBorder="1" applyAlignment="1">
      <alignment horizontal="left" vertical="center" readingOrder="1"/>
    </xf>
    <xf numFmtId="0" fontId="28" fillId="7" borderId="6" xfId="0" applyFont="1" applyFill="1" applyBorder="1" applyAlignment="1">
      <alignment horizontal="left" vertical="center" readingOrder="1"/>
    </xf>
    <xf numFmtId="164" fontId="3" fillId="0" borderId="0" xfId="1" applyNumberFormat="1" applyFont="1" applyFill="1" applyAlignment="1">
      <alignment horizontal="right"/>
    </xf>
    <xf numFmtId="164" fontId="0" fillId="0" borderId="2" xfId="1" applyNumberFormat="1" applyFont="1" applyFill="1" applyBorder="1"/>
    <xf numFmtId="164" fontId="3" fillId="0" borderId="0" xfId="0" applyNumberFormat="1" applyFont="1" applyAlignment="1">
      <alignment horizontal="right"/>
    </xf>
    <xf numFmtId="164" fontId="3" fillId="0" borderId="0" xfId="1" applyNumberFormat="1" applyFont="1" applyFill="1"/>
    <xf numFmtId="164" fontId="38" fillId="0" borderId="0" xfId="1" applyNumberFormat="1" applyFont="1" applyAlignment="1">
      <alignment horizontal="right"/>
    </xf>
    <xf numFmtId="164" fontId="38" fillId="0" borderId="0" xfId="1" applyNumberFormat="1" applyFont="1"/>
    <xf numFmtId="0" fontId="38" fillId="0" borderId="0" xfId="0" applyFont="1"/>
    <xf numFmtId="0" fontId="39" fillId="0" borderId="0" xfId="0" applyFont="1"/>
    <xf numFmtId="164" fontId="3" fillId="4" borderId="0" xfId="1" applyNumberFormat="1" applyFont="1" applyFill="1" applyBorder="1" applyAlignment="1">
      <alignment horizontal="right" vertical="center" readingOrder="1"/>
    </xf>
    <xf numFmtId="164" fontId="3" fillId="38" borderId="6" xfId="1" applyNumberFormat="1" applyFont="1" applyFill="1" applyBorder="1" applyAlignment="1">
      <alignment horizontal="right" vertical="center" readingOrder="1"/>
    </xf>
    <xf numFmtId="164" fontId="8" fillId="38" borderId="1" xfId="1" applyNumberFormat="1" applyFont="1" applyFill="1" applyBorder="1" applyAlignment="1">
      <alignment horizontal="right" vertical="center" readingOrder="1"/>
    </xf>
    <xf numFmtId="0" fontId="12" fillId="4" borderId="0" xfId="0" applyFont="1" applyFill="1" applyAlignment="1">
      <alignment horizontal="center"/>
    </xf>
    <xf numFmtId="0" fontId="32" fillId="4" borderId="0" xfId="0" applyFont="1" applyFill="1" applyAlignment="1">
      <alignment horizontal="center"/>
    </xf>
    <xf numFmtId="164" fontId="32" fillId="4" borderId="0" xfId="0" applyNumberFormat="1" applyFont="1" applyFill="1"/>
    <xf numFmtId="44" fontId="2" fillId="3" borderId="0" xfId="2" applyFont="1" applyFill="1" applyAlignment="1">
      <alignment horizontal="center" wrapText="1"/>
    </xf>
    <xf numFmtId="164" fontId="0" fillId="31" borderId="0" xfId="1" applyNumberFormat="1" applyFont="1" applyFill="1" applyAlignment="1">
      <alignment horizontal="right"/>
    </xf>
    <xf numFmtId="165" fontId="6" fillId="3" borderId="0" xfId="2" applyNumberFormat="1" applyFont="1" applyFill="1"/>
    <xf numFmtId="165" fontId="0" fillId="31" borderId="0" xfId="2" applyNumberFormat="1" applyFont="1" applyFill="1" applyAlignment="1">
      <alignment horizontal="right"/>
    </xf>
    <xf numFmtId="168" fontId="2" fillId="3" borderId="0" xfId="4" applyNumberFormat="1" applyFont="1" applyFill="1" applyAlignment="1">
      <alignment horizontal="center" wrapText="1"/>
    </xf>
    <xf numFmtId="165" fontId="6" fillId="3" borderId="0" xfId="4" applyNumberFormat="1" applyFont="1" applyFill="1"/>
    <xf numFmtId="165" fontId="0" fillId="31" borderId="0" xfId="2" applyNumberFormat="1" applyFont="1" applyFill="1"/>
    <xf numFmtId="164" fontId="0" fillId="31" borderId="0" xfId="1" applyNumberFormat="1" applyFont="1" applyFill="1"/>
    <xf numFmtId="165" fontId="0" fillId="24" borderId="0" xfId="2" applyNumberFormat="1" applyFont="1" applyFill="1" applyBorder="1" applyAlignment="1"/>
    <xf numFmtId="165" fontId="0" fillId="24" borderId="1" xfId="0" applyNumberFormat="1" applyFill="1" applyBorder="1"/>
    <xf numFmtId="43" fontId="0" fillId="0" borderId="0" xfId="1" applyFont="1"/>
    <xf numFmtId="44" fontId="0" fillId="0" borderId="0" xfId="2" applyFont="1" applyAlignment="1">
      <alignment horizontal="center"/>
    </xf>
    <xf numFmtId="164" fontId="28" fillId="38" borderId="6" xfId="1" applyNumberFormat="1" applyFont="1" applyFill="1" applyBorder="1" applyAlignment="1">
      <alignment horizontal="right" vertical="center" readingOrder="1"/>
    </xf>
    <xf numFmtId="0" fontId="22" fillId="27" borderId="0" xfId="13" applyFont="1" applyAlignment="1">
      <alignment horizontal="center" vertical="center" textRotation="255"/>
    </xf>
    <xf numFmtId="164" fontId="2" fillId="27" borderId="0" xfId="13" applyNumberFormat="1" applyAlignment="1">
      <alignment horizontal="center" vertical="center"/>
    </xf>
    <xf numFmtId="0" fontId="22" fillId="2" borderId="0" xfId="3" applyFont="1" applyAlignment="1">
      <alignment horizontal="center" vertical="center" textRotation="255"/>
    </xf>
    <xf numFmtId="164" fontId="2" fillId="2" borderId="0" xfId="3" applyNumberFormat="1" applyAlignment="1">
      <alignment horizontal="center" vertical="center"/>
    </xf>
    <xf numFmtId="0" fontId="22" fillId="10" borderId="0" xfId="3" applyFont="1" applyFill="1" applyAlignment="1">
      <alignment horizontal="center" vertical="center" textRotation="255"/>
    </xf>
    <xf numFmtId="164" fontId="2" fillId="25" borderId="0" xfId="11" applyNumberFormat="1" applyAlignment="1">
      <alignment horizontal="center" vertical="center"/>
    </xf>
    <xf numFmtId="0" fontId="22" fillId="3" borderId="0" xfId="3" applyFont="1" applyFill="1" applyAlignment="1">
      <alignment horizontal="center" vertical="center" textRotation="255"/>
    </xf>
    <xf numFmtId="164" fontId="2" fillId="3" borderId="0" xfId="11" applyNumberFormat="1" applyFill="1" applyAlignment="1">
      <alignment horizontal="center" vertical="center"/>
    </xf>
    <xf numFmtId="0" fontId="3" fillId="39" borderId="6" xfId="0" applyFont="1" applyFill="1" applyBorder="1" applyAlignment="1">
      <alignment horizontal="left" vertical="center" readingOrder="1"/>
    </xf>
  </cellXfs>
  <cellStyles count="19">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Normal 3" xfId="18" xr:uid="{0BE0A45E-C5C2-4D4B-BC9F-5F2F6631FDFB}"/>
    <cellStyle name="Percent" xfId="7" builtinId="5"/>
    <cellStyle name="wr_6" xfId="8" xr:uid="{BE1B80FF-AE88-4CBE-B42C-9E9B452B9C7F}"/>
  </cellStyles>
  <dxfs count="5">
    <dxf>
      <fill>
        <patternFill>
          <bgColor rgb="FFFFFFCC"/>
        </patternFill>
      </fill>
    </dxf>
    <dxf>
      <fill>
        <patternFill>
          <bgColor rgb="FFFFFFCC"/>
        </patternFill>
      </fill>
    </dxf>
    <dxf>
      <fill>
        <patternFill>
          <bgColor rgb="FFFFFFCC"/>
        </patternFill>
      </fill>
    </dxf>
    <dxf>
      <alignment horizontal="right"/>
    </dxf>
    <dxf>
      <alignment horizontal="right"/>
    </dxf>
  </dxfs>
  <tableStyles count="0" defaultTableStyle="TableStyleMedium2" defaultPivotStyle="PivotStyleLight16"/>
  <colors>
    <mruColors>
      <color rgb="FFFFCCFF"/>
      <color rgb="FFFF66CC"/>
      <color rgb="FFFFFF93"/>
      <color rgb="FFFFFFCC"/>
      <color rgb="FF006699"/>
      <color rgb="FF008080"/>
      <color rgb="FF9933FF"/>
      <color rgb="FF918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07/relationships/slicerCache" Target="slicerCaches/slicerCache2.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microsoft.com/office/2017/10/relationships/person" Target="persons/perso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microsoft.com/office/2007/relationships/slicerCache" Target="slicerCaches/slicerCache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microsoft.com/office/2007/relationships/slicerCache" Target="slicerCaches/slicerCache1.xml"/><Relationship Id="rId88" Type="http://schemas.openxmlformats.org/officeDocument/2006/relationships/styles" Target="styles.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microsoft.com/office/2007/relationships/slicerCache" Target="slicerCaches/slicerCache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pivotCacheDefinition" Target="pivotCache/pivotCacheDefinition1.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11" Type="http://schemas.openxmlformats.org/officeDocument/2006/relationships/image" Target="../media/image35.png"/><Relationship Id="rId5" Type="http://schemas.openxmlformats.org/officeDocument/2006/relationships/image" Target="../media/image29.png"/><Relationship Id="rId10" Type="http://schemas.openxmlformats.org/officeDocument/2006/relationships/image" Target="../media/image34.png"/><Relationship Id="rId4" Type="http://schemas.openxmlformats.org/officeDocument/2006/relationships/image" Target="../media/image28.png"/><Relationship Id="rId9" Type="http://schemas.openxmlformats.org/officeDocument/2006/relationships/image" Target="../media/image3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43.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png"/><Relationship Id="rId2" Type="http://schemas.openxmlformats.org/officeDocument/2006/relationships/image" Target="../media/image37.png"/><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0" Type="http://schemas.openxmlformats.org/officeDocument/2006/relationships/image" Target="../media/image45.png"/><Relationship Id="rId4" Type="http://schemas.openxmlformats.org/officeDocument/2006/relationships/image" Target="../media/image39.png"/><Relationship Id="rId9" Type="http://schemas.openxmlformats.org/officeDocument/2006/relationships/image" Target="../media/image4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37192</xdr:colOff>
      <xdr:row>28</xdr:row>
      <xdr:rowOff>0</xdr:rowOff>
    </xdr:from>
    <xdr:to>
      <xdr:col>10</xdr:col>
      <xdr:colOff>283835</xdr:colOff>
      <xdr:row>45</xdr:row>
      <xdr:rowOff>49614</xdr:rowOff>
    </xdr:to>
    <xdr:pic>
      <xdr:nvPicPr>
        <xdr:cNvPr id="2" name="Picture 1">
          <a:extLst>
            <a:ext uri="{FF2B5EF4-FFF2-40B4-BE49-F238E27FC236}">
              <a16:creationId xmlns:a16="http://schemas.microsoft.com/office/drawing/2014/main" id="{9C7BC7A0-40E5-476F-81B0-DD00B3AA843E}"/>
            </a:ext>
          </a:extLst>
        </xdr:cNvPr>
        <xdr:cNvPicPr>
          <a:picLocks noChangeAspect="1"/>
        </xdr:cNvPicPr>
      </xdr:nvPicPr>
      <xdr:blipFill>
        <a:blip xmlns:r="http://schemas.openxmlformats.org/officeDocument/2006/relationships" r:embed="rId1"/>
        <a:stretch>
          <a:fillRect/>
        </a:stretch>
      </xdr:blipFill>
      <xdr:spPr>
        <a:xfrm>
          <a:off x="381557" y="3736731"/>
          <a:ext cx="6186893" cy="3163558"/>
        </a:xfrm>
        <a:prstGeom prst="rect">
          <a:avLst/>
        </a:prstGeom>
        <a:ln>
          <a:solidFill>
            <a:srgbClr val="FF66CC"/>
          </a:solidFill>
        </a:ln>
      </xdr:spPr>
    </xdr:pic>
    <xdr:clientData/>
  </xdr:twoCellAnchor>
  <xdr:twoCellAnchor editAs="oneCell">
    <xdr:from>
      <xdr:col>1</xdr:col>
      <xdr:colOff>19806</xdr:colOff>
      <xdr:row>45</xdr:row>
      <xdr:rowOff>164775</xdr:rowOff>
    </xdr:from>
    <xdr:to>
      <xdr:col>12</xdr:col>
      <xdr:colOff>57951</xdr:colOff>
      <xdr:row>64</xdr:row>
      <xdr:rowOff>49146</xdr:rowOff>
    </xdr:to>
    <xdr:pic>
      <xdr:nvPicPr>
        <xdr:cNvPr id="3" name="Picture 2">
          <a:extLst>
            <a:ext uri="{FF2B5EF4-FFF2-40B4-BE49-F238E27FC236}">
              <a16:creationId xmlns:a16="http://schemas.microsoft.com/office/drawing/2014/main" id="{290C9FF5-D227-4951-8BE8-A6D3CFDC6E32}"/>
            </a:ext>
          </a:extLst>
        </xdr:cNvPr>
        <xdr:cNvPicPr>
          <a:picLocks noChangeAspect="1"/>
        </xdr:cNvPicPr>
      </xdr:nvPicPr>
      <xdr:blipFill>
        <a:blip xmlns:r="http://schemas.openxmlformats.org/officeDocument/2006/relationships" r:embed="rId2"/>
        <a:stretch>
          <a:fillRect/>
        </a:stretch>
      </xdr:blipFill>
      <xdr:spPr>
        <a:xfrm>
          <a:off x="364171" y="7015448"/>
          <a:ext cx="7294520" cy="3360580"/>
        </a:xfrm>
        <a:prstGeom prst="rect">
          <a:avLst/>
        </a:prstGeom>
        <a:ln>
          <a:solidFill>
            <a:srgbClr val="918E00"/>
          </a:solidFill>
        </a:ln>
      </xdr:spPr>
    </xdr:pic>
    <xdr:clientData/>
  </xdr:twoCellAnchor>
  <xdr:twoCellAnchor editAs="oneCell">
    <xdr:from>
      <xdr:col>1</xdr:col>
      <xdr:colOff>21167</xdr:colOff>
      <xdr:row>64</xdr:row>
      <xdr:rowOff>179706</xdr:rowOff>
    </xdr:from>
    <xdr:to>
      <xdr:col>12</xdr:col>
      <xdr:colOff>57951</xdr:colOff>
      <xdr:row>74</xdr:row>
      <xdr:rowOff>172094</xdr:rowOff>
    </xdr:to>
    <xdr:pic>
      <xdr:nvPicPr>
        <xdr:cNvPr id="4" name="Picture 3">
          <a:extLst>
            <a:ext uri="{FF2B5EF4-FFF2-40B4-BE49-F238E27FC236}">
              <a16:creationId xmlns:a16="http://schemas.microsoft.com/office/drawing/2014/main" id="{FC30CDCC-F15A-4EC2-97E0-6733AF5CF51C}"/>
            </a:ext>
          </a:extLst>
        </xdr:cNvPr>
        <xdr:cNvPicPr>
          <a:picLocks noChangeAspect="1"/>
        </xdr:cNvPicPr>
      </xdr:nvPicPr>
      <xdr:blipFill>
        <a:blip xmlns:r="http://schemas.openxmlformats.org/officeDocument/2006/relationships" r:embed="rId3"/>
        <a:stretch>
          <a:fillRect/>
        </a:stretch>
      </xdr:blipFill>
      <xdr:spPr>
        <a:xfrm>
          <a:off x="365532" y="10510668"/>
          <a:ext cx="7293159" cy="1817315"/>
        </a:xfrm>
        <a:prstGeom prst="rect">
          <a:avLst/>
        </a:prstGeom>
        <a:ln>
          <a:solidFill>
            <a:schemeClr val="accent5">
              <a:lumMod val="75000"/>
            </a:schemeClr>
          </a:solidFill>
        </a:ln>
      </xdr:spPr>
    </xdr:pic>
    <xdr:clientData/>
  </xdr:twoCellAnchor>
  <xdr:twoCellAnchor editAs="oneCell">
    <xdr:from>
      <xdr:col>1</xdr:col>
      <xdr:colOff>0</xdr:colOff>
      <xdr:row>75</xdr:row>
      <xdr:rowOff>126803</xdr:rowOff>
    </xdr:from>
    <xdr:to>
      <xdr:col>12</xdr:col>
      <xdr:colOff>66346</xdr:colOff>
      <xdr:row>87</xdr:row>
      <xdr:rowOff>107167</xdr:rowOff>
    </xdr:to>
    <xdr:pic>
      <xdr:nvPicPr>
        <xdr:cNvPr id="5" name="Picture 4">
          <a:extLst>
            <a:ext uri="{FF2B5EF4-FFF2-40B4-BE49-F238E27FC236}">
              <a16:creationId xmlns:a16="http://schemas.microsoft.com/office/drawing/2014/main" id="{6CCDBA12-8CA7-4A8F-B5EF-91CABFAD99ED}"/>
            </a:ext>
          </a:extLst>
        </xdr:cNvPr>
        <xdr:cNvPicPr>
          <a:picLocks noChangeAspect="1"/>
        </xdr:cNvPicPr>
      </xdr:nvPicPr>
      <xdr:blipFill>
        <a:blip xmlns:r="http://schemas.openxmlformats.org/officeDocument/2006/relationships" r:embed="rId4"/>
        <a:stretch>
          <a:fillRect/>
        </a:stretch>
      </xdr:blipFill>
      <xdr:spPr>
        <a:xfrm>
          <a:off x="344365" y="12472668"/>
          <a:ext cx="7325441" cy="2179799"/>
        </a:xfrm>
        <a:prstGeom prst="rect">
          <a:avLst/>
        </a:prstGeom>
        <a:ln>
          <a:solidFill>
            <a:srgbClr val="FFCCFF"/>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133583</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134922</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19271</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8721</xdr:colOff>
      <xdr:row>33</xdr:row>
      <xdr:rowOff>125562</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94367</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125389</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582377</xdr:colOff>
      <xdr:row>60</xdr:row>
      <xdr:rowOff>49187</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94472</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599527</xdr:colOff>
      <xdr:row>79</xdr:row>
      <xdr:rowOff>9746</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588637</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11081</xdr:colOff>
      <xdr:row>106</xdr:row>
      <xdr:rowOff>49113</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12246</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121340</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126515</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143309</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123800</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9504</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47609</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8158</xdr:colOff>
      <xdr:row>66</xdr:row>
      <xdr:rowOff>12208</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7900</xdr:colOff>
      <xdr:row>74</xdr:row>
      <xdr:rowOff>84358</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29937</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550618</xdr:colOff>
      <xdr:row>10</xdr:row>
      <xdr:rowOff>122674</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562870</xdr:colOff>
      <xdr:row>20</xdr:row>
      <xdr:rowOff>47602</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541545</xdr:colOff>
      <xdr:row>29</xdr:row>
      <xdr:rowOff>170324</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twoCellAnchor editAs="oneCell">
    <xdr:from>
      <xdr:col>8</xdr:col>
      <xdr:colOff>76200</xdr:colOff>
      <xdr:row>30</xdr:row>
      <xdr:rowOff>106136</xdr:rowOff>
    </xdr:from>
    <xdr:to>
      <xdr:col>17</xdr:col>
      <xdr:colOff>561995</xdr:colOff>
      <xdr:row>39</xdr:row>
      <xdr:rowOff>125396</xdr:rowOff>
    </xdr:to>
    <xdr:pic>
      <xdr:nvPicPr>
        <xdr:cNvPr id="5" name="Picture 4">
          <a:extLst>
            <a:ext uri="{FF2B5EF4-FFF2-40B4-BE49-F238E27FC236}">
              <a16:creationId xmlns:a16="http://schemas.microsoft.com/office/drawing/2014/main" id="{00102326-82DD-EA31-0633-9D56AABB95C0}"/>
            </a:ext>
          </a:extLst>
        </xdr:cNvPr>
        <xdr:cNvPicPr>
          <a:picLocks noChangeAspect="1"/>
        </xdr:cNvPicPr>
      </xdr:nvPicPr>
      <xdr:blipFill>
        <a:blip xmlns:r="http://schemas.openxmlformats.org/officeDocument/2006/relationships" r:embed="rId4"/>
        <a:stretch>
          <a:fillRect/>
        </a:stretch>
      </xdr:blipFill>
      <xdr:spPr>
        <a:xfrm>
          <a:off x="6334125" y="5535386"/>
          <a:ext cx="6400800" cy="1648055"/>
        </a:xfrm>
        <a:prstGeom prst="rect">
          <a:avLst/>
        </a:prstGeom>
        <a:ln>
          <a:solidFill>
            <a:schemeClr val="accent5"/>
          </a:solidFill>
        </a:ln>
      </xdr:spPr>
    </xdr:pic>
    <xdr:clientData/>
  </xdr:twoCellAnchor>
  <xdr:twoCellAnchor editAs="oneCell">
    <xdr:from>
      <xdr:col>8</xdr:col>
      <xdr:colOff>68035</xdr:colOff>
      <xdr:row>40</xdr:row>
      <xdr:rowOff>74839</xdr:rowOff>
    </xdr:from>
    <xdr:to>
      <xdr:col>17</xdr:col>
      <xdr:colOff>552450</xdr:colOff>
      <xdr:row>49</xdr:row>
      <xdr:rowOff>105772</xdr:rowOff>
    </xdr:to>
    <xdr:pic>
      <xdr:nvPicPr>
        <xdr:cNvPr id="6" name="Picture 5">
          <a:extLst>
            <a:ext uri="{FF2B5EF4-FFF2-40B4-BE49-F238E27FC236}">
              <a16:creationId xmlns:a16="http://schemas.microsoft.com/office/drawing/2014/main" id="{E28947CF-63BD-4312-901B-3860C1DCC9F8}"/>
            </a:ext>
          </a:extLst>
        </xdr:cNvPr>
        <xdr:cNvPicPr>
          <a:picLocks noChangeAspect="1"/>
        </xdr:cNvPicPr>
      </xdr:nvPicPr>
      <xdr:blipFill>
        <a:blip xmlns:r="http://schemas.openxmlformats.org/officeDocument/2006/relationships" r:embed="rId5"/>
        <a:stretch>
          <a:fillRect/>
        </a:stretch>
      </xdr:blipFill>
      <xdr:spPr>
        <a:xfrm>
          <a:off x="6325960" y="7313839"/>
          <a:ext cx="6402161" cy="1658329"/>
        </a:xfrm>
        <a:prstGeom prst="rect">
          <a:avLst/>
        </a:prstGeom>
        <a:ln>
          <a:solidFill>
            <a:schemeClr val="accent1"/>
          </a:solidFill>
        </a:ln>
      </xdr:spPr>
    </xdr:pic>
    <xdr:clientData/>
  </xdr:twoCellAnchor>
  <xdr:twoCellAnchor editAs="oneCell">
    <xdr:from>
      <xdr:col>8</xdr:col>
      <xdr:colOff>63954</xdr:colOff>
      <xdr:row>50</xdr:row>
      <xdr:rowOff>73479</xdr:rowOff>
    </xdr:from>
    <xdr:to>
      <xdr:col>17</xdr:col>
      <xdr:colOff>545160</xdr:colOff>
      <xdr:row>59</xdr:row>
      <xdr:rowOff>111812</xdr:rowOff>
    </xdr:to>
    <xdr:pic>
      <xdr:nvPicPr>
        <xdr:cNvPr id="7" name="Picture 6">
          <a:extLst>
            <a:ext uri="{FF2B5EF4-FFF2-40B4-BE49-F238E27FC236}">
              <a16:creationId xmlns:a16="http://schemas.microsoft.com/office/drawing/2014/main" id="{C895FE60-97E5-E1B5-792D-D8DFBBB2B0A0}"/>
            </a:ext>
          </a:extLst>
        </xdr:cNvPr>
        <xdr:cNvPicPr>
          <a:picLocks noChangeAspect="1"/>
        </xdr:cNvPicPr>
      </xdr:nvPicPr>
      <xdr:blipFill>
        <a:blip xmlns:r="http://schemas.openxmlformats.org/officeDocument/2006/relationships" r:embed="rId6"/>
        <a:stretch>
          <a:fillRect/>
        </a:stretch>
      </xdr:blipFill>
      <xdr:spPr>
        <a:xfrm>
          <a:off x="6321879" y="9122229"/>
          <a:ext cx="6392167" cy="1667108"/>
        </a:xfrm>
        <a:prstGeom prst="rect">
          <a:avLst/>
        </a:prstGeom>
        <a:ln>
          <a:solidFill>
            <a:schemeClr val="accent1"/>
          </a:solidFill>
        </a:ln>
      </xdr:spPr>
    </xdr:pic>
    <xdr:clientData/>
  </xdr:twoCellAnchor>
  <xdr:twoCellAnchor editAs="oneCell">
    <xdr:from>
      <xdr:col>8</xdr:col>
      <xdr:colOff>123825</xdr:colOff>
      <xdr:row>60</xdr:row>
      <xdr:rowOff>106136</xdr:rowOff>
    </xdr:from>
    <xdr:to>
      <xdr:col>17</xdr:col>
      <xdr:colOff>531562</xdr:colOff>
      <xdr:row>69</xdr:row>
      <xdr:rowOff>134942</xdr:rowOff>
    </xdr:to>
    <xdr:pic>
      <xdr:nvPicPr>
        <xdr:cNvPr id="8" name="Picture 7">
          <a:extLst>
            <a:ext uri="{FF2B5EF4-FFF2-40B4-BE49-F238E27FC236}">
              <a16:creationId xmlns:a16="http://schemas.microsoft.com/office/drawing/2014/main" id="{C4C73F47-2DAB-3F62-E0FE-565F23E6D003}"/>
            </a:ext>
          </a:extLst>
        </xdr:cNvPr>
        <xdr:cNvPicPr>
          <a:picLocks noChangeAspect="1"/>
        </xdr:cNvPicPr>
      </xdr:nvPicPr>
      <xdr:blipFill>
        <a:blip xmlns:r="http://schemas.openxmlformats.org/officeDocument/2006/relationships" r:embed="rId7"/>
        <a:stretch>
          <a:fillRect/>
        </a:stretch>
      </xdr:blipFill>
      <xdr:spPr>
        <a:xfrm>
          <a:off x="6381750" y="10964636"/>
          <a:ext cx="6322762" cy="1654860"/>
        </a:xfrm>
        <a:prstGeom prst="rect">
          <a:avLst/>
        </a:prstGeom>
        <a:ln>
          <a:solidFill>
            <a:schemeClr val="accent1"/>
          </a:solidFill>
        </a:ln>
      </xdr:spPr>
    </xdr:pic>
    <xdr:clientData/>
  </xdr:twoCellAnchor>
  <xdr:twoCellAnchor editAs="oneCell">
    <xdr:from>
      <xdr:col>8</xdr:col>
      <xdr:colOff>123825</xdr:colOff>
      <xdr:row>70</xdr:row>
      <xdr:rowOff>104775</xdr:rowOff>
    </xdr:from>
    <xdr:to>
      <xdr:col>17</xdr:col>
      <xdr:colOff>569667</xdr:colOff>
      <xdr:row>79</xdr:row>
      <xdr:rowOff>149912</xdr:rowOff>
    </xdr:to>
    <xdr:pic>
      <xdr:nvPicPr>
        <xdr:cNvPr id="9" name="Picture 8">
          <a:extLst>
            <a:ext uri="{FF2B5EF4-FFF2-40B4-BE49-F238E27FC236}">
              <a16:creationId xmlns:a16="http://schemas.microsoft.com/office/drawing/2014/main" id="{3BF3E1CD-C3DF-18AD-A90C-6B44925226D7}"/>
            </a:ext>
          </a:extLst>
        </xdr:cNvPr>
        <xdr:cNvPicPr>
          <a:picLocks noChangeAspect="1"/>
        </xdr:cNvPicPr>
      </xdr:nvPicPr>
      <xdr:blipFill>
        <a:blip xmlns:r="http://schemas.openxmlformats.org/officeDocument/2006/relationships" r:embed="rId8"/>
        <a:stretch>
          <a:fillRect/>
        </a:stretch>
      </xdr:blipFill>
      <xdr:spPr>
        <a:xfrm>
          <a:off x="6381750" y="12773025"/>
          <a:ext cx="6360867" cy="1673912"/>
        </a:xfrm>
        <a:prstGeom prst="rect">
          <a:avLst/>
        </a:prstGeom>
        <a:ln>
          <a:solidFill>
            <a:schemeClr val="accent1"/>
          </a:solidFill>
        </a:ln>
      </xdr:spPr>
    </xdr:pic>
    <xdr:clientData/>
  </xdr:twoCellAnchor>
  <xdr:twoCellAnchor editAs="oneCell">
    <xdr:from>
      <xdr:col>8</xdr:col>
      <xdr:colOff>123825</xdr:colOff>
      <xdr:row>80</xdr:row>
      <xdr:rowOff>76200</xdr:rowOff>
    </xdr:from>
    <xdr:to>
      <xdr:col>17</xdr:col>
      <xdr:colOff>571027</xdr:colOff>
      <xdr:row>89</xdr:row>
      <xdr:rowOff>121332</xdr:rowOff>
    </xdr:to>
    <xdr:pic>
      <xdr:nvPicPr>
        <xdr:cNvPr id="10" name="Picture 9">
          <a:extLst>
            <a:ext uri="{FF2B5EF4-FFF2-40B4-BE49-F238E27FC236}">
              <a16:creationId xmlns:a16="http://schemas.microsoft.com/office/drawing/2014/main" id="{447A87B3-E2B4-74FF-56C4-0286F52254EF}"/>
            </a:ext>
          </a:extLst>
        </xdr:cNvPr>
        <xdr:cNvPicPr>
          <a:picLocks noChangeAspect="1"/>
        </xdr:cNvPicPr>
      </xdr:nvPicPr>
      <xdr:blipFill>
        <a:blip xmlns:r="http://schemas.openxmlformats.org/officeDocument/2006/relationships" r:embed="rId9"/>
        <a:stretch>
          <a:fillRect/>
        </a:stretch>
      </xdr:blipFill>
      <xdr:spPr>
        <a:xfrm>
          <a:off x="6381750" y="14554200"/>
          <a:ext cx="6362227" cy="1675273"/>
        </a:xfrm>
        <a:prstGeom prst="rect">
          <a:avLst/>
        </a:prstGeom>
        <a:ln>
          <a:solidFill>
            <a:schemeClr val="accent1"/>
          </a:solidFill>
        </a:ln>
      </xdr:spPr>
    </xdr:pic>
    <xdr:clientData/>
  </xdr:twoCellAnchor>
  <xdr:twoCellAnchor editAs="oneCell">
    <xdr:from>
      <xdr:col>8</xdr:col>
      <xdr:colOff>144237</xdr:colOff>
      <xdr:row>90</xdr:row>
      <xdr:rowOff>122464</xdr:rowOff>
    </xdr:from>
    <xdr:to>
      <xdr:col>17</xdr:col>
      <xdr:colOff>302080</xdr:colOff>
      <xdr:row>104</xdr:row>
      <xdr:rowOff>18766</xdr:rowOff>
    </xdr:to>
    <xdr:pic>
      <xdr:nvPicPr>
        <xdr:cNvPr id="11" name="Picture 10">
          <a:extLst>
            <a:ext uri="{FF2B5EF4-FFF2-40B4-BE49-F238E27FC236}">
              <a16:creationId xmlns:a16="http://schemas.microsoft.com/office/drawing/2014/main" id="{6BE5E976-78CA-6141-4DEC-01D04868996F}"/>
            </a:ext>
          </a:extLst>
        </xdr:cNvPr>
        <xdr:cNvPicPr>
          <a:picLocks noChangeAspect="1"/>
        </xdr:cNvPicPr>
      </xdr:nvPicPr>
      <xdr:blipFill>
        <a:blip xmlns:r="http://schemas.openxmlformats.org/officeDocument/2006/relationships" r:embed="rId10"/>
        <a:stretch>
          <a:fillRect/>
        </a:stretch>
      </xdr:blipFill>
      <xdr:spPr>
        <a:xfrm>
          <a:off x="6402162" y="16410214"/>
          <a:ext cx="6072868" cy="2429952"/>
        </a:xfrm>
        <a:prstGeom prst="rect">
          <a:avLst/>
        </a:prstGeom>
        <a:ln>
          <a:solidFill>
            <a:schemeClr val="accent1"/>
          </a:solidFill>
        </a:ln>
      </xdr:spPr>
    </xdr:pic>
    <xdr:clientData/>
  </xdr:twoCellAnchor>
  <xdr:twoCellAnchor editAs="oneCell">
    <xdr:from>
      <xdr:col>8</xdr:col>
      <xdr:colOff>149679</xdr:colOff>
      <xdr:row>105</xdr:row>
      <xdr:rowOff>27214</xdr:rowOff>
    </xdr:from>
    <xdr:to>
      <xdr:col>17</xdr:col>
      <xdr:colOff>572384</xdr:colOff>
      <xdr:row>114</xdr:row>
      <xdr:rowOff>94127</xdr:rowOff>
    </xdr:to>
    <xdr:pic>
      <xdr:nvPicPr>
        <xdr:cNvPr id="12" name="Picture 11">
          <a:extLst>
            <a:ext uri="{FF2B5EF4-FFF2-40B4-BE49-F238E27FC236}">
              <a16:creationId xmlns:a16="http://schemas.microsoft.com/office/drawing/2014/main" id="{3447ED85-7EC7-2AF5-853F-7D7D4D984B71}"/>
            </a:ext>
          </a:extLst>
        </xdr:cNvPr>
        <xdr:cNvPicPr>
          <a:picLocks noChangeAspect="1"/>
        </xdr:cNvPicPr>
      </xdr:nvPicPr>
      <xdr:blipFill>
        <a:blip xmlns:r="http://schemas.openxmlformats.org/officeDocument/2006/relationships" r:embed="rId11"/>
        <a:stretch>
          <a:fillRect/>
        </a:stretch>
      </xdr:blipFill>
      <xdr:spPr>
        <a:xfrm>
          <a:off x="6407604" y="19029589"/>
          <a:ext cx="6337730" cy="1698409"/>
        </a:xfrm>
        <a:prstGeom prst="rect">
          <a:avLst/>
        </a:prstGeom>
        <a:ln>
          <a:solidFill>
            <a:schemeClr val="accent1"/>
          </a:solidFill>
        </a:ln>
      </xdr:spPr>
    </xdr:pic>
    <xdr:clientData/>
  </xdr:twoCellAnchor>
  <xdr:twoCellAnchor editAs="oneCell">
    <xdr:from>
      <xdr:col>8</xdr:col>
      <xdr:colOff>161926</xdr:colOff>
      <xdr:row>115</xdr:row>
      <xdr:rowOff>66676</xdr:rowOff>
    </xdr:from>
    <xdr:to>
      <xdr:col>17</xdr:col>
      <xdr:colOff>571500</xdr:colOff>
      <xdr:row>123</xdr:row>
      <xdr:rowOff>97888</xdr:rowOff>
    </xdr:to>
    <xdr:pic>
      <xdr:nvPicPr>
        <xdr:cNvPr id="13" name="Picture 12">
          <a:extLst>
            <a:ext uri="{FF2B5EF4-FFF2-40B4-BE49-F238E27FC236}">
              <a16:creationId xmlns:a16="http://schemas.microsoft.com/office/drawing/2014/main" id="{E1A8A37C-81B0-50E9-5E20-92ECD2687D39}"/>
            </a:ext>
          </a:extLst>
        </xdr:cNvPr>
        <xdr:cNvPicPr>
          <a:picLocks noChangeAspect="1"/>
        </xdr:cNvPicPr>
      </xdr:nvPicPr>
      <xdr:blipFill>
        <a:blip xmlns:r="http://schemas.openxmlformats.org/officeDocument/2006/relationships" r:embed="rId12"/>
        <a:stretch>
          <a:fillRect/>
        </a:stretch>
      </xdr:blipFill>
      <xdr:spPr>
        <a:xfrm>
          <a:off x="6048376" y="21974176"/>
          <a:ext cx="5895974" cy="1552491"/>
        </a:xfrm>
        <a:prstGeom prst="rect">
          <a:avLst/>
        </a:prstGeom>
        <a:ln>
          <a:solidFill>
            <a:schemeClr val="accent1"/>
          </a:solid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161925</xdr:colOff>
      <xdr:row>0</xdr:row>
      <xdr:rowOff>95250</xdr:rowOff>
    </xdr:from>
    <xdr:to>
      <xdr:col>19</xdr:col>
      <xdr:colOff>474424</xdr:colOff>
      <xdr:row>9</xdr:row>
      <xdr:rowOff>122707</xdr:rowOff>
    </xdr:to>
    <xdr:pic>
      <xdr:nvPicPr>
        <xdr:cNvPr id="2" name="Picture 1">
          <a:extLst>
            <a:ext uri="{FF2B5EF4-FFF2-40B4-BE49-F238E27FC236}">
              <a16:creationId xmlns:a16="http://schemas.microsoft.com/office/drawing/2014/main" id="{C20CD837-EEB8-6E09-3122-602C8B5C5AD3}"/>
            </a:ext>
          </a:extLst>
        </xdr:cNvPr>
        <xdr:cNvPicPr>
          <a:picLocks noChangeAspect="1"/>
        </xdr:cNvPicPr>
      </xdr:nvPicPr>
      <xdr:blipFill>
        <a:blip xmlns:r="http://schemas.openxmlformats.org/officeDocument/2006/relationships" r:embed="rId1"/>
        <a:stretch>
          <a:fillRect/>
        </a:stretch>
      </xdr:blipFill>
      <xdr:spPr>
        <a:xfrm>
          <a:off x="6657975" y="95250"/>
          <a:ext cx="6411220" cy="1743318"/>
        </a:xfrm>
        <a:prstGeom prst="rect">
          <a:avLst/>
        </a:prstGeom>
        <a:ln>
          <a:solidFill>
            <a:srgbClr val="FFC000"/>
          </a:solidFill>
        </a:ln>
      </xdr:spPr>
    </xdr:pic>
    <xdr:clientData/>
  </xdr:twoCellAnchor>
  <xdr:twoCellAnchor editAs="oneCell">
    <xdr:from>
      <xdr:col>9</xdr:col>
      <xdr:colOff>171450</xdr:colOff>
      <xdr:row>10</xdr:row>
      <xdr:rowOff>28575</xdr:rowOff>
    </xdr:from>
    <xdr:to>
      <xdr:col>19</xdr:col>
      <xdr:colOff>458091</xdr:colOff>
      <xdr:row>19</xdr:row>
      <xdr:rowOff>38341</xdr:rowOff>
    </xdr:to>
    <xdr:pic>
      <xdr:nvPicPr>
        <xdr:cNvPr id="3" name="Picture 2">
          <a:extLst>
            <a:ext uri="{FF2B5EF4-FFF2-40B4-BE49-F238E27FC236}">
              <a16:creationId xmlns:a16="http://schemas.microsoft.com/office/drawing/2014/main" id="{B4551AB6-AA23-7A12-256A-A4746FAD62BC}"/>
            </a:ext>
          </a:extLst>
        </xdr:cNvPr>
        <xdr:cNvPicPr>
          <a:picLocks noChangeAspect="1"/>
        </xdr:cNvPicPr>
      </xdr:nvPicPr>
      <xdr:blipFill>
        <a:blip xmlns:r="http://schemas.openxmlformats.org/officeDocument/2006/relationships" r:embed="rId2"/>
        <a:stretch>
          <a:fillRect/>
        </a:stretch>
      </xdr:blipFill>
      <xdr:spPr>
        <a:xfrm>
          <a:off x="6667500" y="1933575"/>
          <a:ext cx="6382641" cy="1724266"/>
        </a:xfrm>
        <a:prstGeom prst="rect">
          <a:avLst/>
        </a:prstGeom>
        <a:ln>
          <a:solidFill>
            <a:schemeClr val="accent5">
              <a:lumMod val="75000"/>
            </a:schemeClr>
          </a:solidFill>
        </a:ln>
      </xdr:spPr>
    </xdr:pic>
    <xdr:clientData/>
  </xdr:twoCellAnchor>
  <xdr:twoCellAnchor editAs="oneCell">
    <xdr:from>
      <xdr:col>9</xdr:col>
      <xdr:colOff>180975</xdr:colOff>
      <xdr:row>19</xdr:row>
      <xdr:rowOff>104775</xdr:rowOff>
    </xdr:from>
    <xdr:to>
      <xdr:col>19</xdr:col>
      <xdr:colOff>458084</xdr:colOff>
      <xdr:row>28</xdr:row>
      <xdr:rowOff>92767</xdr:rowOff>
    </xdr:to>
    <xdr:pic>
      <xdr:nvPicPr>
        <xdr:cNvPr id="4" name="Picture 3">
          <a:extLst>
            <a:ext uri="{FF2B5EF4-FFF2-40B4-BE49-F238E27FC236}">
              <a16:creationId xmlns:a16="http://schemas.microsoft.com/office/drawing/2014/main" id="{29818475-52EA-0B83-DD5E-709682180FB6}"/>
            </a:ext>
          </a:extLst>
        </xdr:cNvPr>
        <xdr:cNvPicPr>
          <a:picLocks noChangeAspect="1"/>
        </xdr:cNvPicPr>
      </xdr:nvPicPr>
      <xdr:blipFill>
        <a:blip xmlns:r="http://schemas.openxmlformats.org/officeDocument/2006/relationships" r:embed="rId3"/>
        <a:stretch>
          <a:fillRect/>
        </a:stretch>
      </xdr:blipFill>
      <xdr:spPr>
        <a:xfrm>
          <a:off x="6677025" y="3724275"/>
          <a:ext cx="6373109" cy="1705213"/>
        </a:xfrm>
        <a:prstGeom prst="rect">
          <a:avLst/>
        </a:prstGeom>
        <a:ln>
          <a:solidFill>
            <a:schemeClr val="accent5">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29937</xdr:colOff>
      <xdr:row>20</xdr:row>
      <xdr:rowOff>121104</xdr:rowOff>
    </xdr:from>
    <xdr:to>
      <xdr:col>7</xdr:col>
      <xdr:colOff>1076325</xdr:colOff>
      <xdr:row>23</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95</xdr:row>
      <xdr:rowOff>88446</xdr:rowOff>
    </xdr:from>
    <xdr:to>
      <xdr:col>5</xdr:col>
      <xdr:colOff>390525</xdr:colOff>
      <xdr:row>98</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baseline="30000"/>
            <a:t>(1) </a:t>
          </a:r>
          <a:r>
            <a:rPr lang="en-US" sz="1050"/>
            <a:t>Estimated total budget represents the best rough order of magnitude for total project costs.</a:t>
          </a:r>
          <a:endParaRPr lang="en-US" sz="1050" baseline="30000"/>
        </a:p>
        <a:p>
          <a:pPr algn="l"/>
          <a:r>
            <a:rPr lang="en-US" sz="1050" baseline="30000"/>
            <a:t>(2)</a:t>
          </a:r>
          <a:r>
            <a:rPr lang="en-US" sz="1050"/>
            <a:t> 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114300</xdr:colOff>
      <xdr:row>1</xdr:row>
      <xdr:rowOff>133350</xdr:rowOff>
    </xdr:from>
    <xdr:to>
      <xdr:col>30</xdr:col>
      <xdr:colOff>323437</xdr:colOff>
      <xdr:row>13</xdr:row>
      <xdr:rowOff>114600</xdr:rowOff>
    </xdr:to>
    <xdr:pic>
      <xdr:nvPicPr>
        <xdr:cNvPr id="3" name="Picture 2">
          <a:extLst>
            <a:ext uri="{FF2B5EF4-FFF2-40B4-BE49-F238E27FC236}">
              <a16:creationId xmlns:a16="http://schemas.microsoft.com/office/drawing/2014/main" id="{52FE5A43-B6E1-32D2-C81A-FFEA8CD1EE55}"/>
            </a:ext>
          </a:extLst>
        </xdr:cNvPr>
        <xdr:cNvPicPr>
          <a:picLocks noChangeAspect="1"/>
        </xdr:cNvPicPr>
      </xdr:nvPicPr>
      <xdr:blipFill>
        <a:blip xmlns:r="http://schemas.openxmlformats.org/officeDocument/2006/relationships" r:embed="rId1"/>
        <a:stretch>
          <a:fillRect/>
        </a:stretch>
      </xdr:blipFill>
      <xdr:spPr>
        <a:xfrm>
          <a:off x="21193125" y="314325"/>
          <a:ext cx="6784108" cy="2152950"/>
        </a:xfrm>
        <a:prstGeom prst="rect">
          <a:avLst/>
        </a:prstGeom>
        <a:ln>
          <a:solidFill>
            <a:schemeClr val="accent5"/>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361457</xdr:colOff>
      <xdr:row>10</xdr:row>
      <xdr:rowOff>133350</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20409</xdr:colOff>
      <xdr:row>4</xdr:row>
      <xdr:rowOff>9523</xdr:rowOff>
    </xdr:from>
    <xdr:to>
      <xdr:col>7</xdr:col>
      <xdr:colOff>19050</xdr:colOff>
      <xdr:row>21</xdr:row>
      <xdr:rowOff>172224</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21770</xdr:rowOff>
    </xdr:from>
    <xdr:to>
      <xdr:col>17</xdr:col>
      <xdr:colOff>245801</xdr:colOff>
      <xdr:row>20</xdr:row>
      <xdr:rowOff>55246</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9</xdr:col>
      <xdr:colOff>3565417</xdr:colOff>
      <xdr:row>60</xdr:row>
      <xdr:rowOff>11829</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7</xdr:col>
      <xdr:colOff>990288</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12</xdr:col>
      <xdr:colOff>299232</xdr:colOff>
      <xdr:row>58</xdr:row>
      <xdr:rowOff>11825</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30389</xdr:colOff>
      <xdr:row>21</xdr:row>
      <xdr:rowOff>1360</xdr:rowOff>
    </xdr:from>
    <xdr:to>
      <xdr:col>6</xdr:col>
      <xdr:colOff>607138</xdr:colOff>
      <xdr:row>59</xdr:row>
      <xdr:rowOff>67032</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559556" y="4001860"/>
          <a:ext cx="8313165" cy="7304672"/>
        </a:xfrm>
        <a:prstGeom prst="rect">
          <a:avLst/>
        </a:prstGeom>
        <a:ln>
          <a:solidFill>
            <a:schemeClr val="accent6"/>
          </a:solidFill>
        </a:ln>
      </xdr:spPr>
    </xdr:pic>
    <xdr:clientData/>
  </xdr:twoCellAnchor>
  <xdr:twoCellAnchor editAs="oneCell">
    <xdr:from>
      <xdr:col>7</xdr:col>
      <xdr:colOff>190499</xdr:colOff>
      <xdr:row>21</xdr:row>
      <xdr:rowOff>10583</xdr:rowOff>
    </xdr:from>
    <xdr:to>
      <xdr:col>12</xdr:col>
      <xdr:colOff>66186</xdr:colOff>
      <xdr:row>36</xdr:row>
      <xdr:rowOff>55688</xdr:rowOff>
    </xdr:to>
    <xdr:pic>
      <xdr:nvPicPr>
        <xdr:cNvPr id="2" name="Picture 1">
          <a:extLst>
            <a:ext uri="{FF2B5EF4-FFF2-40B4-BE49-F238E27FC236}">
              <a16:creationId xmlns:a16="http://schemas.microsoft.com/office/drawing/2014/main" id="{2557D4AC-FA67-8E8D-9666-7BFD78491356}"/>
            </a:ext>
          </a:extLst>
        </xdr:cNvPr>
        <xdr:cNvPicPr>
          <a:picLocks noChangeAspect="1"/>
        </xdr:cNvPicPr>
      </xdr:nvPicPr>
      <xdr:blipFill>
        <a:blip xmlns:r="http://schemas.openxmlformats.org/officeDocument/2006/relationships" r:embed="rId2"/>
        <a:stretch>
          <a:fillRect/>
        </a:stretch>
      </xdr:blipFill>
      <xdr:spPr>
        <a:xfrm>
          <a:off x="9143999" y="4011083"/>
          <a:ext cx="4892187" cy="2902605"/>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 displayName="Partlow, Hudson D" id="{0C47CDF9-4FCC-43BD-B877-58DDF07E9905}" userId="S::hudson.d.partlow.1@vanderbilt.edu::7eaa2235-5507-40d2-8389-4d248c80825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846.455684375003" createdVersion="8" refreshedVersion="8" minRefreshableVersion="3" recordCount="76" xr:uid="{4CFEAC93-13DA-478C-B15E-AD106AD4E922}">
  <cacheSource type="worksheet">
    <worksheetSource ref="A2:D78" sheet="Project Status"/>
  </cacheSource>
  <cacheFields count="24">
    <cacheField name="Capex / Opex" numFmtId="0">
      <sharedItems containsBlank="1" count="4">
        <s v="Operating"/>
        <s v="Capital"/>
        <s v="TBD"/>
        <m u="1"/>
      </sharedItems>
    </cacheField>
    <cacheField name="eBuilder" numFmtId="0">
      <sharedItems containsSemiMixedTypes="0" containsString="0" containsNumber="1" containsInteger="1" minValue="10085" maxValue="21156"/>
    </cacheField>
    <cacheField name="AiM" numFmtId="0">
      <sharedItems containsString="0" containsBlank="1" containsNumber="1" containsInteger="1" minValue="9" maxValue="36015"/>
    </cacheField>
    <cacheField name="Oracle" numFmtId="0">
      <sharedItems containsBlank="1"/>
    </cacheField>
    <cacheField name="School" numFmtId="0">
      <sharedItems count="13">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s v="12100 - Arts and Science: Business Affairs"/>
        <s v="17000 - Law: Office of the Dean"/>
      </sharedItems>
    </cacheField>
    <cacheField name="Lookup" numFmtId="0">
      <sharedItems count="10">
        <s v="Peabody"/>
        <s v="SOM Basic Sciences"/>
        <s v="Nursing"/>
        <s v="Law"/>
        <s v="Blair"/>
        <s v="Divinity"/>
        <s v="Arts &amp; Science"/>
        <s v="Engineering"/>
        <s v="Owen"/>
        <s v="Other"/>
      </sharedItems>
    </cacheField>
    <cacheField name="Building" numFmtId="0">
      <sharedItems count="31">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1025 16TH AVE GARAGE"/>
        <s v="SC PHYSICS &amp; ASTRONOMY"/>
        <s v="BIOMOLECULAR NMR"/>
        <s v="VAUGHN HOME"/>
        <s v="FRIST HALL"/>
        <s v="SEIGENTHALER CENTER"/>
        <s v="FURMAN HALL"/>
        <s v="FEATHERINGILL-JACOBS HALL"/>
        <s v="SC MOLEC BIOLOGY"/>
        <s v="OLIN HALL"/>
        <s v="SC MATH"/>
        <s v="CALHOUN HALL"/>
      </sharedItems>
    </cacheField>
    <cacheField name="Project" numFmtId="0">
      <sharedItems count="77">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Law School - Electrical Gear Replacement - FY23 FR"/>
        <s v="Wyatt Center - VAV Replacement"/>
        <s v="Keck FEL - Roof Replacement"/>
        <s v="SC Chemistry (SC7) - Elevator 1 &amp; 2 Modernization"/>
        <s v="Wyatt Center - Roof Replacement"/>
        <s v="MRB III - Steam Coil Replacement"/>
        <s v="Blair School of Music - AHU - 1 Replacement -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1025 16th Avenue - Patio Repairs"/>
        <s v="SC6 - HVAC Upgrades - Feasibility Study"/>
        <s v="Wilson Hall - HVAC Replacement"/>
        <s v="SC5 - HVAC Replacement (Design Services)"/>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s v="Wilson Hall - 1st Floor Urinal Replacement"/>
        <s v="SC5 - HVAC Upgrade Floors 1 and 2 (Phase 1)"/>
        <s v="SC5 - HVAC Upgrade Floors 4, 5, and 7 (Phase 2)"/>
        <s v="SC5 - HVAC Upgrade Floors 3 and 6 (Phase 3)"/>
        <s v="SC5 - HVAC Upgrade Floors 8 and 9 (Phase 4)"/>
        <s v="Featheringill-Jacobs Hall - Hot Water Tank Replacement"/>
        <s v="Law School - Roof Ladders"/>
        <s v="MRBIII - 5th Floor Controls"/>
        <s v="SC2 - MEP Feasibility Study"/>
        <s v="Godchaux Hall - Phase 2 HVAC Upgrades"/>
        <s v="Buttrick Hall - Insulate First Floor Slab"/>
        <s v="Olin Hall - Exterior Facade Cleaning"/>
        <s v="SC1 - MEP Feasibility Study"/>
        <s v="Calhoun Hall - MEP Feasibility Study"/>
        <s v="Furman Hall - MEP Feasibility Study"/>
        <s v="Law School - MEP Feasibility Study"/>
        <s v="Godchaux Hall - Replace Fire Pump"/>
        <s v="1025 16th Avenue - Electrical and HVAC Study"/>
        <s v="MRBIII - Lecture Hall V1220 Lighting Upgrade"/>
        <s v="MRBIII - Chemical Discharge Tank Replacement"/>
        <s v="MRBIII - Cooling Tower Overhaul"/>
        <s v="Olin Hall 2nd Floor Chiller"/>
        <s v="Wyatt Center - HVAC Upgrades - Engineering Study" u="1"/>
      </sharedItems>
    </cacheField>
    <cacheField name="Project Status" numFmtId="0">
      <sharedItems/>
    </cacheField>
    <cacheField name="Phase" numFmtId="0">
      <sharedItems count="10">
        <s v="Finalized"/>
        <s v="Financial Closeout"/>
        <s v="Warranty or Construction Closeout"/>
        <s v="Construction"/>
        <s v="Design"/>
        <s v="Not Started"/>
        <s v="Construction Closeout"/>
        <s v="Award"/>
        <s v="Programming or Planning"/>
        <s v="Bidding"/>
      </sharedItems>
    </cacheField>
    <cacheField name="Manager" numFmtId="0">
      <sharedItems/>
    </cacheField>
    <cacheField name="Estimated total budget" numFmtId="164">
      <sharedItems containsSemiMixedTypes="0" containsString="0" containsNumber="1" minValue="0" maxValue="3800000"/>
    </cacheField>
    <cacheField name="Approved budget" numFmtId="164">
      <sharedItems containsSemiMixedTypes="0" containsString="0" containsNumber="1" minValue="0" maxValue="3800000"/>
    </cacheField>
    <cacheField name="Approved commitments" numFmtId="164">
      <sharedItems containsSemiMixedTypes="0" containsString="0" containsNumber="1" minValue="0" maxValue="3635005.72"/>
    </cacheField>
    <cacheField name="Projected commitments" numFmtId="164">
      <sharedItems containsSemiMixedTypes="0" containsString="0" containsNumber="1" minValue="0" maxValue="3635005.72"/>
    </cacheField>
    <cacheField name="Invoices Approved" numFmtId="164">
      <sharedItems containsSemiMixedTypes="0" containsString="0" containsNumber="1" minValue="0" maxValue="3531429.41"/>
    </cacheField>
    <cacheField name="Unallocated Reserve" numFmtId="164">
      <sharedItems containsString="0" containsBlank="1" containsNumber="1" minValue="0" maxValue="195332"/>
    </cacheField>
    <cacheField name="FY23 FRP Cash Transferred" numFmtId="164">
      <sharedItems containsString="0" containsBlank="1" containsNumber="1" minValue="0" maxValue="1232681"/>
    </cacheField>
    <cacheField name="FY24 FRP Transferred" numFmtId="164">
      <sharedItems containsString="0" containsBlank="1" containsNumber="1" minValue="-119221" maxValue="3660360"/>
    </cacheField>
    <cacheField name="FY25 FRP Transferred" numFmtId="164">
      <sharedItems containsString="0" containsBlank="1" containsNumber="1" minValue="-92965.86" maxValue="1600000"/>
    </cacheField>
    <cacheField name="FY25 FRP Estimated" numFmtId="164">
      <sharedItems containsString="0" containsBlank="1" containsNumber="1" containsInteger="1" minValue="0" maxValue="0"/>
    </cacheField>
    <cacheField name="FY25 FRP Total Contribution" numFmtId="164">
      <sharedItems containsString="0" containsBlank="1" containsNumber="1" minValue="-92965.86" maxValue="1600000"/>
    </cacheField>
    <cacheField name="FY26 FRP Estimated" numFmtId="164">
      <sharedItems containsBlank="1" containsMixedTypes="1" containsNumber="1" minValue="0" maxValue="3960000.0000000005"/>
    </cacheField>
    <cacheField name="Project status update" numFmtId="0">
      <sharedItems longText="1"/>
    </cacheField>
  </cacheFields>
  <extLst>
    <ext xmlns:x14="http://schemas.microsoft.com/office/spreadsheetml/2009/9/main" uri="{725AE2AE-9491-48be-B2B4-4EB974FC3084}">
      <x14:pivotCacheDefinition pivotCacheId="169369838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
  <r>
    <x v="0"/>
    <n v="10085"/>
    <n v="4591"/>
    <m/>
    <x v="0"/>
    <x v="0"/>
    <x v="0"/>
    <x v="0"/>
    <s v="Complete"/>
    <x v="0"/>
    <s v="Sean Rewers"/>
    <n v="17500"/>
    <n v="22000"/>
    <n v="17500"/>
    <n v="17500"/>
    <n v="17500"/>
    <n v="0"/>
    <n v="17500"/>
    <n v="0"/>
    <n v="0"/>
    <n v="0"/>
    <n v="0"/>
    <n v="0"/>
    <s v="03/22/2023 Project is in closeout."/>
  </r>
  <r>
    <x v="1"/>
    <n v="10098"/>
    <n v="1627"/>
    <s v="CP_400023"/>
    <x v="1"/>
    <x v="1"/>
    <x v="1"/>
    <x v="1"/>
    <s v="Complete"/>
    <x v="0"/>
    <s v="Hans Mooy"/>
    <n v="1216485.5"/>
    <n v="1216485.5"/>
    <n v="1212084.54"/>
    <n v="1212084.54"/>
    <n v="1212084.54"/>
    <n v="0"/>
    <n v="1216485.5"/>
    <n v="-4400.96"/>
    <n v="0"/>
    <n v="0"/>
    <n v="0"/>
    <n v="0"/>
    <s v="08/22/2023 project complete"/>
  </r>
  <r>
    <x v="1"/>
    <n v="10146"/>
    <n v="8206"/>
    <s v="CP_400025"/>
    <x v="2"/>
    <x v="2"/>
    <x v="2"/>
    <x v="2"/>
    <s v="Active"/>
    <x v="1"/>
    <s v="Sean Rewers"/>
    <n v="318000"/>
    <n v="318057"/>
    <n v="253826.81"/>
    <n v="253826.81"/>
    <n v="253826.81"/>
    <n v="64230.19"/>
    <n v="4900"/>
    <n v="255957"/>
    <n v="0"/>
    <n v="0"/>
    <n v="0"/>
    <n v="0"/>
    <s v="09/26/2024 Project is in library closeout. Will complete financial closeout after."/>
  </r>
  <r>
    <x v="1"/>
    <n v="20179"/>
    <n v="36015"/>
    <s v="CP_400024"/>
    <x v="3"/>
    <x v="3"/>
    <x v="3"/>
    <x v="3"/>
    <s v="Complete"/>
    <x v="0"/>
    <s v="Bob Grummon"/>
    <n v="1445389"/>
    <n v="1445389"/>
    <n v="1352423.14"/>
    <n v="1352423.14"/>
    <n v="1352423.14"/>
    <m/>
    <n v="722694.5"/>
    <n v="0"/>
    <n v="-92965.86"/>
    <n v="0"/>
    <n v="-92965.86"/>
    <n v="0"/>
    <s v="07/29/2024 work is complete"/>
  </r>
  <r>
    <x v="1"/>
    <n v="20336"/>
    <n v="20075"/>
    <s v="CP_400056"/>
    <x v="4"/>
    <x v="4"/>
    <x v="4"/>
    <x v="4"/>
    <s v="Complete"/>
    <x v="0"/>
    <s v="Ben Bedock"/>
    <n v="327890"/>
    <n v="327890"/>
    <n v="280600"/>
    <n v="280600"/>
    <n v="280600"/>
    <m/>
    <n v="327890"/>
    <n v="-47290"/>
    <n v="0"/>
    <n v="0"/>
    <n v="0"/>
    <n v="0"/>
    <s v="01/22/2024 Project complete.  Waiting on final invoice to clear to begin the financial closeout process."/>
  </r>
  <r>
    <x v="1"/>
    <n v="20431"/>
    <n v="8084"/>
    <s v="CP_400108"/>
    <x v="5"/>
    <x v="5"/>
    <x v="5"/>
    <x v="5"/>
    <s v="Active"/>
    <x v="2"/>
    <s v="Hans Mooy"/>
    <n v="3800000"/>
    <n v="3800000"/>
    <n v="3635005.72"/>
    <n v="3635005.72"/>
    <n v="3531429.41"/>
    <n v="191010.33"/>
    <n v="69862.5"/>
    <n v="3660360"/>
    <n v="0"/>
    <n v="0"/>
    <n v="0"/>
    <n v="0"/>
    <s v="06/25/2025 Project Complete."/>
  </r>
  <r>
    <x v="1"/>
    <n v="20478"/>
    <n v="8672"/>
    <s v="CP_400182"/>
    <x v="6"/>
    <x v="6"/>
    <x v="6"/>
    <x v="6"/>
    <s v="Active"/>
    <x v="2"/>
    <s v="Cathy Bartlett"/>
    <n v="2790000"/>
    <n v="2790000"/>
    <n v="2702930.48"/>
    <n v="2702930.48"/>
    <n v="2652824.48"/>
    <n v="0"/>
    <n v="81100"/>
    <n v="1028900"/>
    <n v="0"/>
    <n v="0"/>
    <n v="0"/>
    <n v="0"/>
    <s v="07/02/2025 Door hardware is currently being replaced. Once complete, the project will be closed out."/>
  </r>
  <r>
    <x v="1"/>
    <n v="20489"/>
    <n v="8051"/>
    <s v="CP_400183"/>
    <x v="5"/>
    <x v="5"/>
    <x v="5"/>
    <x v="7"/>
    <s v="Active"/>
    <x v="3"/>
    <s v="Hans Mooy"/>
    <n v="3600000"/>
    <n v="331000"/>
    <n v="284895"/>
    <n v="319295"/>
    <n v="14407.5"/>
    <m/>
    <n v="26500"/>
    <n v="0"/>
    <n v="304500"/>
    <n v="0"/>
    <n v="304500"/>
    <n v="2700000"/>
    <s v="06/25/2025 Kick off meeting occurred and PO for AHU has been approved."/>
  </r>
  <r>
    <x v="1"/>
    <n v="20497"/>
    <n v="529"/>
    <s v="CP_400127"/>
    <x v="0"/>
    <x v="0"/>
    <x v="7"/>
    <x v="8"/>
    <s v="Complete"/>
    <x v="0"/>
    <s v="Ben Bedock"/>
    <n v="456850"/>
    <n v="456850"/>
    <n v="412000"/>
    <n v="412000"/>
    <n v="412000"/>
    <m/>
    <n v="79415.5"/>
    <n v="-44850"/>
    <n v="0"/>
    <n v="0"/>
    <n v="0"/>
    <n v="0"/>
    <s v="09/22/2023 Project complete.  Financial closeout process to begin after confirmation that all invoices have been submitted, approved and cleared."/>
  </r>
  <r>
    <x v="1"/>
    <n v="20506"/>
    <n v="1170"/>
    <s v="CP_400192"/>
    <x v="0"/>
    <x v="0"/>
    <x v="8"/>
    <x v="9"/>
    <s v="Complete"/>
    <x v="0"/>
    <s v="Ben Bedock"/>
    <n v="344155.26"/>
    <n v="344155.26"/>
    <n v="307776.26"/>
    <n v="307776.26"/>
    <n v="307776.26"/>
    <m/>
    <n v="344155.26"/>
    <n v="-36379"/>
    <n v="0"/>
    <n v="0"/>
    <n v="0"/>
    <n v="0"/>
    <s v="09/22/2023 Project complete.  Financial closeout process to begin after confirmation that all invoices have been submitted, approved and cleared."/>
  </r>
  <r>
    <x v="2"/>
    <n v="20560"/>
    <m/>
    <m/>
    <x v="3"/>
    <x v="3"/>
    <x v="3"/>
    <x v="10"/>
    <s v="Deferred / On Hold"/>
    <x v="4"/>
    <s v="Sean Rewers"/>
    <n v="905610"/>
    <n v="0"/>
    <n v="0"/>
    <n v="0"/>
    <n v="0"/>
    <m/>
    <m/>
    <m/>
    <m/>
    <m/>
    <m/>
    <m/>
    <s v="2/13/23 This project has been placed in a deferred status while we wait for an electrical master plan to be completed. See email in documents folder for more details."/>
  </r>
  <r>
    <x v="1"/>
    <n v="20562"/>
    <n v="4564"/>
    <s v="CP_400175"/>
    <x v="0"/>
    <x v="0"/>
    <x v="8"/>
    <x v="11"/>
    <s v="Complete"/>
    <x v="0"/>
    <s v="Sean Rewers"/>
    <n v="400000"/>
    <n v="405791"/>
    <n v="362559.64"/>
    <n v="362559.64"/>
    <n v="362559.64"/>
    <m/>
    <n v="405791"/>
    <n v="-43231.360000000001"/>
    <n v="0"/>
    <n v="0"/>
    <n v="0"/>
    <n v="0"/>
    <s v="01/22/2024 Project is in closeout"/>
  </r>
  <r>
    <x v="2"/>
    <n v="20563"/>
    <n v="4624"/>
    <m/>
    <x v="7"/>
    <x v="7"/>
    <x v="9"/>
    <x v="12"/>
    <s v="Deferred / On Hold"/>
    <x v="5"/>
    <s v="Ben Bedock"/>
    <n v="386000"/>
    <n v="0"/>
    <n v="0"/>
    <n v="0"/>
    <n v="0"/>
    <m/>
    <n v="0"/>
    <n v="0"/>
    <n v="0"/>
    <n v="0"/>
    <n v="0"/>
    <s v="TBD"/>
    <s v="On hold per FRP 07/24/2024 until summer of 2026"/>
  </r>
  <r>
    <x v="1"/>
    <n v="20566"/>
    <n v="20054"/>
    <s v="CP_400151"/>
    <x v="6"/>
    <x v="6"/>
    <x v="10"/>
    <x v="13"/>
    <s v="Complete"/>
    <x v="0"/>
    <s v="Ben Bedock"/>
    <n v="781870"/>
    <n v="781870"/>
    <n v="722586.68"/>
    <n v="722586.68"/>
    <n v="722586.68"/>
    <m/>
    <n v="781870"/>
    <n v="-59283.32"/>
    <n v="0"/>
    <n v="0"/>
    <n v="0"/>
    <n v="0"/>
    <s v="11/22/2023 Project complete.  Waiting on final invoice to clear to begin the financial closeout process."/>
  </r>
  <r>
    <x v="1"/>
    <n v="20573"/>
    <n v="8047"/>
    <s v="CP_400185"/>
    <x v="0"/>
    <x v="0"/>
    <x v="8"/>
    <x v="14"/>
    <s v="Complete"/>
    <x v="0"/>
    <s v="Ben Bedock"/>
    <n v="1232681"/>
    <n v="1232681"/>
    <n v="1113460"/>
    <n v="1113460"/>
    <n v="1113460"/>
    <m/>
    <n v="1232681"/>
    <n v="-119221"/>
    <n v="0"/>
    <n v="0"/>
    <n v="0"/>
    <n v="0"/>
    <s v="01/22/2024 Project is complete.  Waiting on final invoice to clear to begin the closeout process."/>
  </r>
  <r>
    <x v="1"/>
    <n v="20574"/>
    <n v="8145"/>
    <s v="CP_400164"/>
    <x v="1"/>
    <x v="1"/>
    <x v="1"/>
    <x v="15"/>
    <s v="Complete"/>
    <x v="0"/>
    <s v="Sean Rewers"/>
    <n v="218202"/>
    <n v="218202"/>
    <n v="195665"/>
    <n v="195665"/>
    <n v="195665"/>
    <m/>
    <n v="218202"/>
    <n v="-22537"/>
    <n v="0"/>
    <n v="0"/>
    <n v="0"/>
    <n v="0"/>
    <s v="01/22/2024 Project is in closeout"/>
  </r>
  <r>
    <x v="1"/>
    <n v="20577"/>
    <n v="8146"/>
    <s v="CP_400154"/>
    <x v="4"/>
    <x v="4"/>
    <x v="4"/>
    <x v="16"/>
    <s v="Active"/>
    <x v="3"/>
    <s v="Hans Mooy"/>
    <n v="1300000"/>
    <n v="1300000"/>
    <n v="1105354.21"/>
    <n v="1105354.21"/>
    <n v="665550.21"/>
    <m/>
    <n v="223000"/>
    <n v="0"/>
    <n v="1077000"/>
    <n v="0"/>
    <n v="1077000"/>
    <n v="0"/>
    <s v="06/23/2025 New AHU being brought to the site for installation._x000a_Epoxy painting of floor completed."/>
  </r>
  <r>
    <x v="1"/>
    <n v="20644"/>
    <n v="8241"/>
    <s v="CP_400171"/>
    <x v="0"/>
    <x v="0"/>
    <x v="11"/>
    <x v="17"/>
    <s v="Complete"/>
    <x v="0"/>
    <s v="Ben Bedock"/>
    <n v="630554"/>
    <n v="630554"/>
    <n v="571789"/>
    <n v="571789"/>
    <n v="571789"/>
    <m/>
    <n v="630554"/>
    <n v="-58765"/>
    <n v="0"/>
    <n v="0"/>
    <n v="0"/>
    <n v="0"/>
    <s v="10/23/2023 Project complete.  Waiting on final invoice to clear to begin the financial closeout process."/>
  </r>
  <r>
    <x v="0"/>
    <n v="20645"/>
    <n v="8239"/>
    <m/>
    <x v="6"/>
    <x v="6"/>
    <x v="12"/>
    <x v="18"/>
    <s v="Complete"/>
    <x v="0"/>
    <s v="Ben Bedock"/>
    <n v="125875"/>
    <n v="125875"/>
    <n v="114350"/>
    <n v="114350"/>
    <n v="114350"/>
    <m/>
    <n v="125875"/>
    <n v="-11525"/>
    <n v="0"/>
    <n v="0"/>
    <n v="0"/>
    <n v="0"/>
    <s v="02/26/2024 Punchlist items have been discussed with the contractor.  Once items are completed, project is ready to closeout."/>
  </r>
  <r>
    <x v="1"/>
    <n v="20667"/>
    <n v="8168"/>
    <s v="CP_400160"/>
    <x v="7"/>
    <x v="7"/>
    <x v="13"/>
    <x v="19"/>
    <s v="Active"/>
    <x v="3"/>
    <s v="Sean Rewers"/>
    <n v="1550000"/>
    <n v="1545360"/>
    <n v="1389458"/>
    <n v="1406556"/>
    <n v="254220.7"/>
    <m/>
    <n v="146500"/>
    <n v="0"/>
    <n v="1398860"/>
    <n v="0"/>
    <n v="1398860"/>
    <n v="0"/>
    <s v="06/24/2025 Project is slated to start July 7th and extend through September. Parking and dumpster has been approved. Kylie is working on access for the high security areas, and whether we need an escort."/>
  </r>
  <r>
    <x v="1"/>
    <n v="20668"/>
    <n v="8151"/>
    <s v="CP_400163"/>
    <x v="7"/>
    <x v="7"/>
    <x v="9"/>
    <x v="20"/>
    <s v="Active"/>
    <x v="4"/>
    <s v="Sean Rewers"/>
    <n v="0"/>
    <n v="231433"/>
    <n v="231433"/>
    <n v="231433"/>
    <n v="116143"/>
    <m/>
    <n v="206500"/>
    <n v="24933"/>
    <n v="0"/>
    <n v="0"/>
    <n v="0"/>
    <n v="3960000.0000000005"/>
    <s v="06/24/2025 We are awaiting definitive plans from the CUI project to determine where our chilled water connection will be. If hot water goes past the building as part of CUI we will rework the design to include hot water connection."/>
  </r>
  <r>
    <x v="1"/>
    <n v="20698"/>
    <n v="1138"/>
    <s v="CP_400168"/>
    <x v="6"/>
    <x v="6"/>
    <x v="14"/>
    <x v="21"/>
    <s v="Active"/>
    <x v="1"/>
    <s v="Sean Rewers"/>
    <n v="680000"/>
    <n v="678513"/>
    <n v="586776.36"/>
    <n v="586776.36"/>
    <n v="586776.36"/>
    <n v="91736.639999999999"/>
    <n v="29250"/>
    <n v="649263"/>
    <n v="0"/>
    <n v="0"/>
    <n v="0"/>
    <n v="0"/>
    <s v="11/25/2024 Project in FX"/>
  </r>
  <r>
    <x v="0"/>
    <n v="20700"/>
    <n v="851"/>
    <m/>
    <x v="6"/>
    <x v="6"/>
    <x v="10"/>
    <x v="22"/>
    <s v="Complete"/>
    <x v="0"/>
    <s v="Sean Rewers"/>
    <n v="80000"/>
    <n v="85577"/>
    <n v="85576.77"/>
    <n v="85576.77"/>
    <n v="85576.77"/>
    <m/>
    <n v="79623"/>
    <n v="5954"/>
    <n v="0"/>
    <n v="0"/>
    <n v="0"/>
    <n v="0"/>
    <s v="11/27/2023 Project is in closeout"/>
  </r>
  <r>
    <x v="1"/>
    <n v="20701"/>
    <n v="4399"/>
    <s v="CP_400198"/>
    <x v="6"/>
    <x v="6"/>
    <x v="15"/>
    <x v="23"/>
    <s v="Active"/>
    <x v="6"/>
    <s v="Sean Rewers"/>
    <n v="500000"/>
    <n v="499093"/>
    <n v="447510.86"/>
    <n v="447510.86"/>
    <n v="408577.05"/>
    <m/>
    <n v="499093"/>
    <n v="0"/>
    <n v="0"/>
    <n v="0"/>
    <n v="0"/>
    <n v="0"/>
    <s v="06/25/2025 Final walkthrough scheduled for July 3rd with VUMO, envision and Sylvan."/>
  </r>
  <r>
    <x v="1"/>
    <n v="20702"/>
    <n v="8432"/>
    <s v="CP_400165"/>
    <x v="0"/>
    <x v="0"/>
    <x v="8"/>
    <x v="24"/>
    <s v="Complete"/>
    <x v="0"/>
    <s v="Ben Bedock"/>
    <n v="225791"/>
    <n v="239341"/>
    <n v="209419"/>
    <n v="209419"/>
    <n v="209419"/>
    <m/>
    <n v="239341"/>
    <n v="-29922"/>
    <n v="0"/>
    <n v="0"/>
    <n v="0"/>
    <n v="0"/>
    <s v="12/18/2023 Project complete.  Waiting on final invoice to clear to begin the financial closeout process."/>
  </r>
  <r>
    <x v="1"/>
    <n v="20718"/>
    <n v="8608"/>
    <s v="CP_400174"/>
    <x v="6"/>
    <x v="6"/>
    <x v="16"/>
    <x v="25"/>
    <s v="Complete"/>
    <x v="0"/>
    <s v="Erin Fry"/>
    <n v="715000"/>
    <n v="715000"/>
    <n v="656784.6"/>
    <n v="656784.6"/>
    <n v="656576.59"/>
    <m/>
    <n v="96166"/>
    <n v="0"/>
    <n v="0"/>
    <n v="0"/>
    <n v="0"/>
    <n v="0"/>
    <s v="02/23/2024 Construction complete. Library Closeout process complete. The Financial closeout process has been started."/>
  </r>
  <r>
    <x v="1"/>
    <n v="20723"/>
    <n v="1628"/>
    <s v="CP_400187"/>
    <x v="1"/>
    <x v="1"/>
    <x v="1"/>
    <x v="26"/>
    <s v="Active"/>
    <x v="3"/>
    <s v="Jay Surprenant"/>
    <n v="1610000"/>
    <n v="1700000"/>
    <n v="1538240.72"/>
    <n v="1538240.72"/>
    <n v="155595.01999999999"/>
    <m/>
    <n v="160500"/>
    <n v="0"/>
    <n v="1539500"/>
    <n v="0"/>
    <n v="1539500"/>
    <n v="0"/>
    <s v="06/27/2025 Main BACnet loop started installation.  Next phase due to start 7/7"/>
  </r>
  <r>
    <x v="1"/>
    <n v="20724"/>
    <n v="8557"/>
    <s v="CP_400178"/>
    <x v="4"/>
    <x v="4"/>
    <x v="4"/>
    <x v="27"/>
    <s v="Active"/>
    <x v="1"/>
    <s v="Hans Mooy"/>
    <n v="1987500"/>
    <n v="1987500"/>
    <n v="1873174.63"/>
    <n v="1873174.63"/>
    <n v="1839010.58"/>
    <n v="167881.35"/>
    <n v="23400"/>
    <n v="1964100"/>
    <n v="0"/>
    <n v="0"/>
    <n v="0"/>
    <n v="0"/>
    <s v="05/22/2025 Project complete."/>
  </r>
  <r>
    <x v="0"/>
    <n v="20735"/>
    <n v="8226"/>
    <m/>
    <x v="8"/>
    <x v="8"/>
    <x v="17"/>
    <x v="28"/>
    <s v="Complete"/>
    <x v="0"/>
    <s v="Ben Bedock"/>
    <n v="300000"/>
    <n v="300000"/>
    <n v="276500"/>
    <n v="276500"/>
    <n v="276500"/>
    <n v="0"/>
    <n v="300000"/>
    <n v="-23500"/>
    <n v="0"/>
    <n v="0"/>
    <n v="0"/>
    <n v="0"/>
    <s v="04/23/2024 Project is complete."/>
  </r>
  <r>
    <x v="1"/>
    <n v="20767"/>
    <n v="8673"/>
    <s v="CP_400242"/>
    <x v="0"/>
    <x v="0"/>
    <x v="18"/>
    <x v="29"/>
    <s v="Active"/>
    <x v="2"/>
    <s v="Jay Surprenant"/>
    <n v="149000"/>
    <n v="148299"/>
    <n v="125699"/>
    <n v="125699"/>
    <n v="125699"/>
    <n v="22600"/>
    <n v="0"/>
    <n v="148299"/>
    <n v="0"/>
    <n v="0"/>
    <n v="0"/>
    <n v="0"/>
    <s v="06/27/2025 Moving through LC process. no change from last month."/>
  </r>
  <r>
    <x v="0"/>
    <n v="20771"/>
    <n v="8674"/>
    <m/>
    <x v="6"/>
    <x v="6"/>
    <x v="10"/>
    <x v="30"/>
    <s v="Complete"/>
    <x v="0"/>
    <s v="Sean Rewers"/>
    <n v="25000"/>
    <n v="24997"/>
    <n v="17972"/>
    <n v="17972"/>
    <n v="17972"/>
    <m/>
    <n v="24997"/>
    <n v="-7025"/>
    <n v="0"/>
    <n v="0"/>
    <n v="0"/>
    <n v="0"/>
    <s v="07/24/2023 Project is complete. I will begin closeout after taking some final photos of the space."/>
  </r>
  <r>
    <x v="1"/>
    <n v="20772"/>
    <n v="8675"/>
    <s v="CP_400235"/>
    <x v="8"/>
    <x v="8"/>
    <x v="17"/>
    <x v="31"/>
    <s v="Active"/>
    <x v="1"/>
    <s v="Ben Bedock"/>
    <n v="3200000"/>
    <n v="3200000"/>
    <n v="2977388.14"/>
    <n v="2977388.14"/>
    <n v="2977388.14"/>
    <m/>
    <n v="0"/>
    <n v="1600000"/>
    <n v="1600000"/>
    <n v="0"/>
    <n v="1600000"/>
    <n v="0"/>
    <s v="04/23/2025 Awaiting final invoice to clear to begin the close out process"/>
  </r>
  <r>
    <x v="1"/>
    <n v="20792"/>
    <n v="1035"/>
    <s v="CP_400206"/>
    <x v="3"/>
    <x v="3"/>
    <x v="3"/>
    <x v="32"/>
    <s v="Complete"/>
    <x v="0"/>
    <s v="Ben Bedock"/>
    <n v="400000"/>
    <n v="483440"/>
    <n v="450775"/>
    <n v="450775"/>
    <n v="450775"/>
    <m/>
    <n v="483440"/>
    <n v="-32665"/>
    <n v="0"/>
    <n v="0"/>
    <n v="0"/>
    <n v="0"/>
    <s v="12/18/2023 Construction complete.  Waiting on final invoices to clear to begin the closeout process."/>
  </r>
  <r>
    <x v="1"/>
    <n v="20811"/>
    <n v="8729"/>
    <s v="CP_400224"/>
    <x v="0"/>
    <x v="0"/>
    <x v="0"/>
    <x v="33"/>
    <s v="Active"/>
    <x v="1"/>
    <s v="Ben Bedock"/>
    <n v="75000"/>
    <n v="285233.27"/>
    <n v="253063.19"/>
    <n v="253063.19"/>
    <n v="121573.71"/>
    <n v="32170.080000000002"/>
    <n v="0"/>
    <n v="285233.27"/>
    <n v="0"/>
    <n v="0"/>
    <n v="0"/>
    <n v="0"/>
    <s v="04/23/2025 Project is complete.  Waiting on final invoices to clear to begin the closeout process."/>
  </r>
  <r>
    <x v="1"/>
    <n v="20812"/>
    <n v="8923"/>
    <s v="CP_400282"/>
    <x v="7"/>
    <x v="7"/>
    <x v="19"/>
    <x v="34"/>
    <s v="Active"/>
    <x v="3"/>
    <s v="Sean Rewers"/>
    <n v="485000"/>
    <n v="486135"/>
    <n v="388442"/>
    <n v="388442"/>
    <n v="21500"/>
    <m/>
    <m/>
    <m/>
    <n v="486135"/>
    <n v="0"/>
    <n v="486135"/>
    <m/>
    <s v="06/24/2025 Area was secured from pedestrian traffic, FRC approvals were completed. Demo has started and contractors have found some additional concrete below planters. We are awaiting a CO for this added work. Bricks are being saved for possible reuse instead of faux facade."/>
  </r>
  <r>
    <x v="0"/>
    <n v="20831"/>
    <n v="8230"/>
    <m/>
    <x v="6"/>
    <x v="6"/>
    <x v="20"/>
    <x v="35"/>
    <s v="Complete"/>
    <x v="0"/>
    <s v="Sean Rewers"/>
    <n v="24000"/>
    <n v="24000"/>
    <n v="24000"/>
    <n v="24000"/>
    <n v="24000"/>
    <m/>
    <n v="0"/>
    <n v="24000"/>
    <n v="0"/>
    <n v="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6"/>
    <s v="Complete"/>
    <x v="0"/>
    <s v="Sean Rewers"/>
    <n v="24000"/>
    <n v="24000"/>
    <n v="24000"/>
    <n v="24000"/>
    <n v="24000"/>
    <m/>
    <n v="0"/>
    <n v="24000"/>
    <n v="0"/>
    <n v="0"/>
    <n v="0"/>
    <n v="0"/>
    <s v="01/22/2024 Project study and estimated pricing is complete. Project in closeout."/>
  </r>
  <r>
    <x v="0"/>
    <n v="20833"/>
    <n v="8215"/>
    <m/>
    <x v="6"/>
    <x v="6"/>
    <x v="15"/>
    <x v="37"/>
    <s v="Complete"/>
    <x v="0"/>
    <s v="Sean Rewers"/>
    <n v="24000"/>
    <n v="24000"/>
    <n v="24000"/>
    <n v="24000"/>
    <n v="24000"/>
    <m/>
    <n v="0"/>
    <n v="24000"/>
    <n v="0"/>
    <n v="0"/>
    <n v="0"/>
    <n v="0"/>
    <s v="04/24/2024 Project is in closeout"/>
  </r>
  <r>
    <x v="1"/>
    <n v="20857"/>
    <n v="8427"/>
    <s v="CP_400227"/>
    <x v="0"/>
    <x v="0"/>
    <x v="0"/>
    <x v="38"/>
    <s v="Active"/>
    <x v="3"/>
    <s v="Ben Bedock"/>
    <n v="499184"/>
    <n v="499184"/>
    <n v="483144.67"/>
    <n v="483144.67"/>
    <n v="248690.94"/>
    <m/>
    <n v="0"/>
    <n v="499184"/>
    <n v="0"/>
    <n v="0"/>
    <n v="0"/>
    <n v="0"/>
    <s v="06/26/2025 Elevators are 90% finished.  Sills for the cabs still need to be installed.  Second hydraulic jack still needs to be replaced.  Jack is scheduled for replacement 07/28-08/01."/>
  </r>
  <r>
    <x v="1"/>
    <n v="20884"/>
    <n v="8807"/>
    <s v="CP_400251"/>
    <x v="3"/>
    <x v="3"/>
    <x v="3"/>
    <x v="39"/>
    <s v="Active"/>
    <x v="1"/>
    <s v="Ben Bedock"/>
    <n v="675650"/>
    <n v="675650"/>
    <n v="480318"/>
    <n v="480318"/>
    <n v="480318"/>
    <n v="195332"/>
    <n v="0"/>
    <n v="675650"/>
    <n v="0"/>
    <n v="0"/>
    <n v="0"/>
    <n v="0"/>
    <s v="08/23/2024 VUMO is managing this project.  CPC is helping with the PO/financial process."/>
  </r>
  <r>
    <x v="0"/>
    <n v="20885"/>
    <n v="8676"/>
    <m/>
    <x v="6"/>
    <x v="6"/>
    <x v="21"/>
    <x v="40"/>
    <s v="Active"/>
    <x v="6"/>
    <s v="Sean Rewers"/>
    <n v="130000"/>
    <n v="143053.4"/>
    <n v="123743.89"/>
    <n v="123743.89"/>
    <n v="123743.89"/>
    <m/>
    <n v="0"/>
    <n v="113053.4"/>
    <n v="30000"/>
    <n v="0"/>
    <n v="30000"/>
    <n v="0"/>
    <s v="06/25/2025 Walkthrough has been completed and all punch items are finished, except sequencing. JCI was contacted to do the work but they are forwarding it to the JCI staff who work at the university. This is the last bit of programming and then project can be closed out."/>
  </r>
  <r>
    <x v="0"/>
    <n v="20911"/>
    <n v="8819"/>
    <m/>
    <x v="6"/>
    <x v="6"/>
    <x v="16"/>
    <x v="41"/>
    <s v="Active"/>
    <x v="1"/>
    <s v="Ben Bedock"/>
    <n v="61045"/>
    <n v="61045"/>
    <n v="54613"/>
    <n v="54613"/>
    <n v="54613"/>
    <n v="6432"/>
    <n v="0"/>
    <n v="61045"/>
    <n v="0"/>
    <n v="0"/>
    <n v="0"/>
    <n v="0"/>
    <s v="03/25/2025 Construction complete and inspection passed.  Waiting on invoices to clear to begin the closeout process."/>
  </r>
  <r>
    <x v="0"/>
    <n v="20912"/>
    <n v="8822"/>
    <m/>
    <x v="6"/>
    <x v="6"/>
    <x v="12"/>
    <x v="42"/>
    <s v="Active"/>
    <x v="2"/>
    <s v="Ben Bedock"/>
    <n v="59798"/>
    <n v="59798"/>
    <n v="53366"/>
    <n v="53366"/>
    <n v="52466"/>
    <n v="6432"/>
    <n v="0"/>
    <n v="59798"/>
    <n v="0"/>
    <n v="0"/>
    <n v="0"/>
    <n v="0"/>
    <s v="06/26/2025 Construction complete and inspection passed.  Waiting on invoices to clear to begin the closeout process."/>
  </r>
  <r>
    <x v="0"/>
    <n v="20913"/>
    <n v="8818"/>
    <m/>
    <x v="6"/>
    <x v="6"/>
    <x v="14"/>
    <x v="43"/>
    <s v="Active"/>
    <x v="1"/>
    <s v="Ben Bedock"/>
    <n v="96612"/>
    <n v="96612"/>
    <n v="86900"/>
    <n v="86900"/>
    <n v="86000"/>
    <n v="9712"/>
    <n v="0"/>
    <n v="96612"/>
    <n v="0"/>
    <n v="0"/>
    <n v="0"/>
    <n v="0"/>
    <s v="05/22/2025 Construction complete and inspection passed.  Invoices are cleared.  Financial closeout process has started."/>
  </r>
  <r>
    <x v="1"/>
    <n v="20922"/>
    <n v="8720"/>
    <s v="CP_400263"/>
    <x v="6"/>
    <x v="6"/>
    <x v="22"/>
    <x v="44"/>
    <s v="Active"/>
    <x v="2"/>
    <s v="Jay Surprenant"/>
    <n v="170000"/>
    <n v="197150"/>
    <n v="170000"/>
    <n v="170000"/>
    <n v="170000"/>
    <n v="27150"/>
    <n v="0"/>
    <n v="197150"/>
    <n v="0"/>
    <n v="0"/>
    <n v="0"/>
    <n v="0"/>
    <s v="06/27/2025 Moved to library closeout.  waiting on closeout documents from contractor.  No change from last month."/>
  </r>
  <r>
    <x v="0"/>
    <n v="20924"/>
    <n v="8737"/>
    <m/>
    <x v="9"/>
    <x v="2"/>
    <x v="23"/>
    <x v="45"/>
    <s v="Complete"/>
    <x v="0"/>
    <s v="Ben Bedock"/>
    <n v="30570"/>
    <n v="30570"/>
    <n v="24500"/>
    <n v="24500"/>
    <n v="24500"/>
    <n v="6070"/>
    <n v="0"/>
    <n v="30570"/>
    <n v="-6070"/>
    <n v="0"/>
    <n v="-6070"/>
    <n v="0"/>
    <s v="11/26/2024 Construction is complete.  Waiting on the final invoice to begin the closeout process."/>
  </r>
  <r>
    <x v="1"/>
    <n v="20925"/>
    <n v="8260"/>
    <s v="CP_400326"/>
    <x v="4"/>
    <x v="4"/>
    <x v="4"/>
    <x v="46"/>
    <s v="Active"/>
    <x v="3"/>
    <s v="Hans Mooy"/>
    <n v="2125000"/>
    <n v="409000"/>
    <n v="409000"/>
    <n v="409000"/>
    <n v="0"/>
    <m/>
    <n v="0"/>
    <n v="0"/>
    <n v="409000"/>
    <n v="0"/>
    <n v="409000"/>
    <n v="2125000"/>
    <s v="06/25/2025 Project kickoff meeting occurred and PO for AHU has been approved."/>
  </r>
  <r>
    <x v="0"/>
    <n v="20936"/>
    <n v="8814"/>
    <m/>
    <x v="6"/>
    <x v="6"/>
    <x v="14"/>
    <x v="47"/>
    <s v="Active"/>
    <x v="2"/>
    <s v="Jay Surprenant"/>
    <n v="405000"/>
    <n v="404655.91"/>
    <n v="357255.91"/>
    <n v="357255.91"/>
    <n v="357255.91"/>
    <n v="47400"/>
    <n v="0"/>
    <n v="404655.91"/>
    <n v="0"/>
    <n v="0"/>
    <n v="0"/>
    <n v="0"/>
    <s v="06/27/2025 Project completed.  Moving to Library Closeout.  No change from last month."/>
  </r>
  <r>
    <x v="1"/>
    <n v="20940"/>
    <n v="8412"/>
    <s v="CP_400291"/>
    <x v="7"/>
    <x v="7"/>
    <x v="13"/>
    <x v="48"/>
    <s v="Active"/>
    <x v="1"/>
    <s v="Sean Rewers"/>
    <n v="310000"/>
    <n v="309548.64"/>
    <n v="298567.26"/>
    <n v="298567.26"/>
    <n v="298332.12"/>
    <m/>
    <n v="0"/>
    <n v="0"/>
    <n v="309548.64"/>
    <n v="0"/>
    <n v="309548.64"/>
    <n v="0"/>
    <s v="06/24/2025 Project is in closeout"/>
  </r>
  <r>
    <x v="0"/>
    <n v="20945"/>
    <n v="8905"/>
    <m/>
    <x v="10"/>
    <x v="9"/>
    <x v="24"/>
    <x v="49"/>
    <s v="Active"/>
    <x v="1"/>
    <s v="Sean Rewers"/>
    <n v="99000"/>
    <n v="99000"/>
    <n v="82897"/>
    <n v="82897"/>
    <n v="70200"/>
    <n v="16103"/>
    <n v="0"/>
    <n v="99000"/>
    <n v="0"/>
    <n v="0"/>
    <n v="0"/>
    <n v="0"/>
    <s v="11/25/2024 We are awaiting TAB and other reports from Nashville Machine, then we will put into FX."/>
  </r>
  <r>
    <x v="1"/>
    <n v="20958"/>
    <n v="1642"/>
    <s v="CP_400256"/>
    <x v="6"/>
    <x v="6"/>
    <x v="25"/>
    <x v="50"/>
    <s v="Active"/>
    <x v="3"/>
    <s v="Ben Bedock"/>
    <n v="290000"/>
    <n v="261629"/>
    <n v="239133"/>
    <n v="239133"/>
    <n v="131676.91"/>
    <m/>
    <n v="0"/>
    <n v="18175"/>
    <n v="243454"/>
    <n v="0"/>
    <n v="243454"/>
    <n v="0"/>
    <s v="06/26/2025 Construction of the new elevator mechanical room is starting on 05/27.  Elevator work itself is going to start on 07/01."/>
  </r>
  <r>
    <x v="1"/>
    <n v="20962"/>
    <n v="8754"/>
    <m/>
    <x v="6"/>
    <x v="6"/>
    <x v="22"/>
    <x v="51"/>
    <s v="Active"/>
    <x v="4"/>
    <s v="Ben Bedock"/>
    <n v="1750000"/>
    <n v="1800"/>
    <n v="1800"/>
    <n v="1800"/>
    <n v="1800"/>
    <m/>
    <n v="0"/>
    <n v="0"/>
    <n v="1800"/>
    <n v="0"/>
    <n v="1800"/>
    <s v="TBD"/>
    <s v="06/26/2025 Met with VUMO and A&amp;S to which we determined that the building is not on the historical registry.  We are going to proceed with pricing for the roof to be replaced with a shingle roof.  Interior gutters will be removed and installed on the exterior.  We also added the replacement of the underground drain lines for the house."/>
  </r>
  <r>
    <x v="1"/>
    <n v="20979"/>
    <n v="9"/>
    <s v="CP_400330"/>
    <x v="7"/>
    <x v="7"/>
    <x v="13"/>
    <x v="52"/>
    <s v="Active"/>
    <x v="7"/>
    <s v="Kylie Mignoli"/>
    <n v="270000"/>
    <n v="529750"/>
    <n v="0"/>
    <n v="476000"/>
    <n v="0"/>
    <m/>
    <n v="0"/>
    <n v="0"/>
    <n v="529750"/>
    <n v="0"/>
    <n v="529750"/>
    <n v="0"/>
    <s v="06/25/2025 Funding has been approved and we are currently working through the PO process.  Scheduled for a mid-September start."/>
  </r>
  <r>
    <x v="1"/>
    <n v="20982"/>
    <n v="8442"/>
    <s v="CP_400270"/>
    <x v="3"/>
    <x v="3"/>
    <x v="3"/>
    <x v="53"/>
    <s v="Active"/>
    <x v="3"/>
    <s v="Ben Bedock"/>
    <n v="272000"/>
    <n v="272000"/>
    <n v="249821"/>
    <n v="249821"/>
    <n v="80518"/>
    <m/>
    <n v="0"/>
    <n v="18175"/>
    <n v="253825"/>
    <n v="0"/>
    <n v="253825"/>
    <n v="0"/>
    <s v="06/26/2025 Elevator modernization is moving forward and in schedule.  Jack is scheduled for replacement from 06/30-07/04."/>
  </r>
  <r>
    <x v="0"/>
    <n v="20984"/>
    <n v="8712"/>
    <m/>
    <x v="6"/>
    <x v="6"/>
    <x v="14"/>
    <x v="54"/>
    <s v="Active"/>
    <x v="1"/>
    <s v="Hans Mooy"/>
    <n v="167000"/>
    <n v="167000"/>
    <n v="143484.6"/>
    <n v="143484.6"/>
    <n v="136652"/>
    <n v="23515.4"/>
    <n v="0"/>
    <n v="0"/>
    <n v="167000"/>
    <n v="0"/>
    <n v="167000"/>
    <n v="0"/>
    <s v="05/22/2025 Project complete..."/>
  </r>
  <r>
    <x v="1"/>
    <n v="21004"/>
    <n v="1010"/>
    <m/>
    <x v="6"/>
    <x v="6"/>
    <x v="15"/>
    <x v="55"/>
    <s v="Deferred / On Hold"/>
    <x v="8"/>
    <s v="Jay Surprenant"/>
    <n v="0"/>
    <n v="992453"/>
    <n v="44000"/>
    <n v="811113"/>
    <n v="35200"/>
    <m/>
    <n v="0"/>
    <n v="0"/>
    <n v="992453"/>
    <n v="0"/>
    <n v="992453"/>
    <s v="TBD"/>
    <s v="04/28/2025 Pushing this work to FY 25/26, summer '26."/>
  </r>
  <r>
    <x v="1"/>
    <n v="21005"/>
    <m/>
    <m/>
    <x v="6"/>
    <x v="6"/>
    <x v="15"/>
    <x v="56"/>
    <s v="Deferred / On Hold"/>
    <x v="8"/>
    <s v="Jay Surprenant"/>
    <n v="0"/>
    <n v="0"/>
    <n v="0"/>
    <n v="0"/>
    <n v="0"/>
    <m/>
    <n v="0"/>
    <n v="0"/>
    <n v="0"/>
    <n v="0"/>
    <n v="0"/>
    <s v="TBD"/>
    <s v="09/24/2024 This is FY 26 project.   No updates to provide yet.  Project not started."/>
  </r>
  <r>
    <x v="1"/>
    <n v="21006"/>
    <m/>
    <m/>
    <x v="7"/>
    <x v="7"/>
    <x v="15"/>
    <x v="57"/>
    <s v="Deferred / On Hold"/>
    <x v="8"/>
    <s v="Jay Surprenant"/>
    <n v="0"/>
    <n v="0"/>
    <n v="0"/>
    <n v="0"/>
    <n v="0"/>
    <m/>
    <n v="0"/>
    <n v="0"/>
    <n v="0"/>
    <n v="0"/>
    <n v="0"/>
    <s v="TBD"/>
    <s v="09/24/2024 Project not started.  this is an FY28 project."/>
  </r>
  <r>
    <x v="1"/>
    <n v="21007"/>
    <m/>
    <m/>
    <x v="7"/>
    <x v="7"/>
    <x v="15"/>
    <x v="58"/>
    <s v="Deferred / On Hold"/>
    <x v="8"/>
    <s v="Jay Surprenant"/>
    <n v="0"/>
    <n v="0"/>
    <n v="0"/>
    <n v="0"/>
    <n v="0"/>
    <m/>
    <n v="0"/>
    <n v="0"/>
    <n v="0"/>
    <n v="0"/>
    <n v="0"/>
    <s v="TBD"/>
    <s v="09/24/2024 Project not started.  This is an FY29 project."/>
  </r>
  <r>
    <x v="1"/>
    <n v="21010"/>
    <m/>
    <s v="CP_400312"/>
    <x v="7"/>
    <x v="7"/>
    <x v="26"/>
    <x v="59"/>
    <s v="Active"/>
    <x v="6"/>
    <s v="Sean Rewers"/>
    <n v="125000"/>
    <n v="126024"/>
    <n v="108850"/>
    <n v="111595.98"/>
    <n v="0"/>
    <m/>
    <n v="0"/>
    <n v="0"/>
    <n v="126024"/>
    <n v="0"/>
    <n v="126024"/>
    <s v="TBD"/>
    <s v="05/23/2025 New disconnect is installed, with conduit and wire ran back to the elec. room. UO scheduled for June 3 which will likely be last piece of the project. Old HX demo is complete, and the new water heater was placed into the Basement 5/21. Piping work is ongoing."/>
  </r>
  <r>
    <x v="0"/>
    <n v="21035"/>
    <m/>
    <m/>
    <x v="3"/>
    <x v="3"/>
    <x v="3"/>
    <x v="60"/>
    <s v="Active"/>
    <x v="3"/>
    <s v="Ben Bedock"/>
    <n v="50000"/>
    <n v="36108.160000000003"/>
    <n v="32589.24"/>
    <n v="32589.24"/>
    <n v="0"/>
    <m/>
    <m/>
    <m/>
    <n v="36108.160000000003"/>
    <m/>
    <n v="36108.160000000003"/>
    <m/>
    <s v="06/26/2025 PO has been issued to the contractor.  Ladders are currently in production and awaiting an installation date."/>
  </r>
  <r>
    <x v="1"/>
    <n v="21051"/>
    <n v="8784"/>
    <m/>
    <x v="1"/>
    <x v="1"/>
    <x v="1"/>
    <x v="61"/>
    <s v="Active"/>
    <x v="4"/>
    <s v="Jay Surprenant"/>
    <n v="0"/>
    <n v="0"/>
    <n v="0"/>
    <n v="0"/>
    <n v="0"/>
    <m/>
    <n v="0"/>
    <n v="0"/>
    <n v="0"/>
    <n v="0"/>
    <n v="0"/>
    <s v="TBD"/>
    <s v="06/27/2025 Going to put project on Hold.  Anthony Tharp wants to move forward with 8th floor first."/>
  </r>
  <r>
    <x v="1"/>
    <n v="21066"/>
    <m/>
    <s v="CP_400314"/>
    <x v="11"/>
    <x v="6"/>
    <x v="27"/>
    <x v="62"/>
    <s v="Active"/>
    <x v="3"/>
    <s v="Sean Rewers"/>
    <n v="29160"/>
    <n v="29160"/>
    <n v="29160"/>
    <n v="29160"/>
    <n v="4374"/>
    <m/>
    <n v="0"/>
    <n v="0"/>
    <n v="29160"/>
    <n v="0"/>
    <n v="29160"/>
    <s v="TBD"/>
    <s v="06/25/2025 We have reviewed AEIs draft study with A&amp;S and assets. We are awaiting a few other conversations on the future of these buildings before giving AEI a direction for a final report."/>
  </r>
  <r>
    <x v="1"/>
    <n v="21067"/>
    <m/>
    <s v="CP_400311"/>
    <x v="9"/>
    <x v="2"/>
    <x v="2"/>
    <x v="63"/>
    <s v="Active"/>
    <x v="4"/>
    <s v="Sean Rewers"/>
    <n v="0"/>
    <n v="46600"/>
    <n v="46600"/>
    <n v="46600"/>
    <n v="1300"/>
    <m/>
    <n v="0"/>
    <n v="0"/>
    <n v="46600"/>
    <n v="0"/>
    <n v="46600"/>
    <s v="TBD"/>
    <s v="06/27/2025 Mechanical engineer and architect are close on rooftop plan for ducting and covering, we will need a final review of their combined drawings. Spoke to the building manager and they are not interested in having the project take place during the academic year. This will likely start construction summer 2026, with bidding in fall of 2025. ."/>
  </r>
  <r>
    <x v="0"/>
    <n v="21068"/>
    <m/>
    <m/>
    <x v="6"/>
    <x v="6"/>
    <x v="16"/>
    <x v="64"/>
    <s v="Active"/>
    <x v="6"/>
    <s v="Jay Surprenant"/>
    <n v="0"/>
    <n v="34837.4"/>
    <n v="24737.4"/>
    <n v="24737.4"/>
    <n v="0"/>
    <m/>
    <n v="0"/>
    <n v="0"/>
    <n v="34837.4"/>
    <n v="0"/>
    <n v="34837.4"/>
    <s v="TBD"/>
    <s v="05/28/2025 Scheduled for early June completion."/>
  </r>
  <r>
    <x v="0"/>
    <n v="21070"/>
    <n v="8733"/>
    <m/>
    <x v="7"/>
    <x v="7"/>
    <x v="28"/>
    <x v="65"/>
    <s v="Active"/>
    <x v="3"/>
    <s v="Ben Bedock"/>
    <n v="848722"/>
    <n v="392042.1"/>
    <n v="331331"/>
    <n v="331331"/>
    <n v="2000"/>
    <m/>
    <n v="0"/>
    <n v="0"/>
    <n v="392042.1"/>
    <n v="0"/>
    <n v="392042.1"/>
    <s v="TBD"/>
    <s v="06/26/2025 Work is moving along.  The weather has been causing come delay but the contractor is moving forward.  The North side caused a little delay due to the curve of the building."/>
  </r>
  <r>
    <x v="1"/>
    <n v="21071"/>
    <m/>
    <s v="CP_400313"/>
    <x v="6"/>
    <x v="6"/>
    <x v="29"/>
    <x v="66"/>
    <s v="Active"/>
    <x v="3"/>
    <s v="Sean Rewers"/>
    <n v="19440"/>
    <n v="19440"/>
    <n v="19440"/>
    <n v="19440"/>
    <n v="2916"/>
    <m/>
    <n v="0"/>
    <n v="0"/>
    <n v="19440"/>
    <n v="0"/>
    <n v="19440"/>
    <s v="TBD"/>
    <s v="06/25/2025 We have reviewed AEIs draft study with A&amp;S and assets. We are awaiting a few other conversations on the future of these buildings before giving AEI a direction for a final report."/>
  </r>
  <r>
    <x v="2"/>
    <n v="21072"/>
    <m/>
    <m/>
    <x v="6"/>
    <x v="6"/>
    <x v="30"/>
    <x v="67"/>
    <s v="Deferred / On Hold"/>
    <x v="7"/>
    <s v="Sean Rewers"/>
    <n v="10000"/>
    <n v="0"/>
    <n v="0"/>
    <n v="0"/>
    <n v="0"/>
    <m/>
    <m/>
    <m/>
    <m/>
    <m/>
    <m/>
    <m/>
    <s v="Project is deferred to late 2026. We do not currently have funding in A&amp;S for this project."/>
  </r>
  <r>
    <x v="2"/>
    <n v="21073"/>
    <m/>
    <m/>
    <x v="6"/>
    <x v="6"/>
    <x v="25"/>
    <x v="68"/>
    <s v="Deferred / On Hold"/>
    <x v="7"/>
    <s v="Sean Rewers"/>
    <n v="10000"/>
    <n v="0"/>
    <n v="0"/>
    <n v="0"/>
    <n v="0"/>
    <m/>
    <m/>
    <m/>
    <m/>
    <m/>
    <m/>
    <m/>
    <s v="Project is being deferred to late 2026. We do not currently have A&amp;S budget to cover this project."/>
  </r>
  <r>
    <x v="2"/>
    <n v="21074"/>
    <m/>
    <m/>
    <x v="12"/>
    <x v="3"/>
    <x v="3"/>
    <x v="69"/>
    <s v="Deferred / On Hold"/>
    <x v="7"/>
    <s v="Sean Rewers"/>
    <n v="10000"/>
    <n v="0"/>
    <n v="0"/>
    <n v="0"/>
    <n v="0"/>
    <m/>
    <m/>
    <m/>
    <m/>
    <m/>
    <m/>
    <m/>
    <s v="Project is being deferred to FY27, as project start will not be until FY28"/>
  </r>
  <r>
    <x v="0"/>
    <n v="21094"/>
    <m/>
    <m/>
    <x v="2"/>
    <x v="2"/>
    <x v="2"/>
    <x v="70"/>
    <s v="Active"/>
    <x v="3"/>
    <s v="Sean Rewers"/>
    <n v="87500"/>
    <n v="87500"/>
    <n v="48640"/>
    <n v="48640"/>
    <n v="0"/>
    <m/>
    <n v="0"/>
    <n v="0"/>
    <n v="87500"/>
    <n v="0"/>
    <n v="87500"/>
    <s v="TBD"/>
    <s v="06/25/2025 Due to a wind start controller on existing, which we want to match for the new one, order has been delayed till later this summer. Ship date is estimated for early August. This was confirmed with VUMO, see email in documents folder."/>
  </r>
  <r>
    <x v="0"/>
    <n v="21108"/>
    <m/>
    <m/>
    <x v="7"/>
    <x v="7"/>
    <x v="13"/>
    <x v="71"/>
    <s v="Active"/>
    <x v="1"/>
    <s v="Sean Rewers"/>
    <n v="5000"/>
    <n v="5000"/>
    <n v="5000"/>
    <n v="5000"/>
    <n v="5000"/>
    <m/>
    <n v="0"/>
    <n v="0"/>
    <n v="5000"/>
    <n v="0"/>
    <n v="5000"/>
    <s v="TBD"/>
    <s v="04/29/2025 Project in closeout"/>
  </r>
  <r>
    <x v="2"/>
    <n v="21113"/>
    <m/>
    <m/>
    <x v="1"/>
    <x v="1"/>
    <x v="1"/>
    <x v="72"/>
    <s v="Active"/>
    <x v="9"/>
    <s v="Jay Surprenant"/>
    <n v="0"/>
    <n v="82125"/>
    <n v="0"/>
    <n v="0"/>
    <n v="0"/>
    <m/>
    <n v="0"/>
    <n v="0"/>
    <n v="82125"/>
    <n v="0"/>
    <n v="82125"/>
    <s v="TBD"/>
    <s v="06/27/2025 Budget submitted for alternative LED system lead by Howard Parker.  Waiting approval."/>
  </r>
  <r>
    <x v="0"/>
    <n v="21114"/>
    <m/>
    <m/>
    <x v="1"/>
    <x v="1"/>
    <x v="1"/>
    <x v="73"/>
    <s v="Active"/>
    <x v="3"/>
    <s v="Jay Surprenant"/>
    <n v="0"/>
    <n v="68452"/>
    <n v="48352"/>
    <n v="48352"/>
    <n v="0"/>
    <m/>
    <n v="0"/>
    <n v="0"/>
    <n v="68452"/>
    <n v="0"/>
    <n v="68452"/>
    <s v="TBD"/>
    <s v="06/25/2025 Still waiting on PO."/>
  </r>
  <r>
    <x v="1"/>
    <n v="21127"/>
    <m/>
    <m/>
    <x v="1"/>
    <x v="1"/>
    <x v="1"/>
    <x v="74"/>
    <s v="Active"/>
    <x v="7"/>
    <s v="Jay Surprenant"/>
    <n v="450000"/>
    <n v="0"/>
    <n v="0"/>
    <n v="0"/>
    <n v="0"/>
    <m/>
    <n v="0"/>
    <n v="0"/>
    <n v="0"/>
    <n v="0"/>
    <n v="0"/>
    <s v="TBD"/>
    <s v="06/30/2025 Project has been awarded and awaiting PO. This project will start October 2025 at the earliest, plenty of time to get a PO and order equipment.  Duration is roughly 8 weeks."/>
  </r>
  <r>
    <x v="1"/>
    <n v="21156"/>
    <m/>
    <m/>
    <x v="7"/>
    <x v="7"/>
    <x v="28"/>
    <x v="75"/>
    <s v="Active"/>
    <x v="4"/>
    <s v="Hans Mooy"/>
    <n v="500000"/>
    <n v="0"/>
    <n v="0"/>
    <n v="0"/>
    <n v="0"/>
    <m/>
    <m/>
    <m/>
    <m/>
    <m/>
    <m/>
    <s v="TBD"/>
    <s v="New projec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251EE5-0246-4D2B-AA38-E9226C14DFDC}"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9" firstHeaderRow="0" firstDataRow="1" firstDataCol="1"/>
  <pivotFields count="24">
    <pivotField showAll="0">
      <items count="5">
        <item x="1"/>
        <item x="0"/>
        <item x="2"/>
        <item m="1" x="3"/>
        <item t="default"/>
      </items>
    </pivotField>
    <pivotField showAll="0"/>
    <pivotField showAll="0"/>
    <pivotField showAll="0"/>
    <pivotField showAll="0">
      <items count="14">
        <item x="6"/>
        <item x="4"/>
        <item x="5"/>
        <item x="7"/>
        <item x="3"/>
        <item x="1"/>
        <item x="0"/>
        <item x="2"/>
        <item x="8"/>
        <item x="9"/>
        <item x="10"/>
        <item x="11"/>
        <item x="12"/>
        <item t="default"/>
      </items>
    </pivotField>
    <pivotField showAll="0">
      <items count="11">
        <item x="6"/>
        <item x="4"/>
        <item x="5"/>
        <item x="7"/>
        <item x="3"/>
        <item x="2"/>
        <item x="9"/>
        <item x="8"/>
        <item x="0"/>
        <item x="1"/>
        <item t="default"/>
      </items>
    </pivotField>
    <pivotField showAll="0">
      <items count="32">
        <item x="19"/>
        <item x="13"/>
        <item h="1" x="12"/>
        <item h="1" x="21"/>
        <item h="1" x="4"/>
        <item h="1" x="6"/>
        <item h="1" x="16"/>
        <item h="1" x="30"/>
        <item h="1" x="5"/>
        <item h="1" x="26"/>
        <item h="1" x="23"/>
        <item h="1" x="25"/>
        <item h="1" x="2"/>
        <item h="1" x="7"/>
        <item h="1" x="9"/>
        <item h="1" x="3"/>
        <item h="1" x="1"/>
        <item h="1" x="28"/>
        <item h="1" x="0"/>
        <item h="1" x="17"/>
        <item h="1" x="11"/>
        <item h="1" x="10"/>
        <item h="1" x="29"/>
        <item h="1" x="27"/>
        <item h="1" x="20"/>
        <item h="1" x="15"/>
        <item h="1" x="24"/>
        <item h="1" x="18"/>
        <item h="1" x="22"/>
        <item h="1" x="14"/>
        <item h="1" x="8"/>
        <item t="default"/>
      </items>
    </pivotField>
    <pivotField axis="axisRow" showAll="0">
      <items count="78">
        <item x="19"/>
        <item x="18"/>
        <item x="4"/>
        <item x="6"/>
        <item x="25"/>
        <item x="2"/>
        <item x="8"/>
        <item x="20"/>
        <item x="12"/>
        <item x="3"/>
        <item x="32"/>
        <item x="1"/>
        <item x="26"/>
        <item x="15"/>
        <item x="0"/>
        <item x="28"/>
        <item x="17"/>
        <item x="13"/>
        <item x="30"/>
        <item x="35"/>
        <item x="29"/>
        <item x="21"/>
        <item x="36"/>
        <item x="24"/>
        <item m="1" x="76"/>
        <item x="14"/>
        <item x="11"/>
        <item x="9"/>
        <item x="5"/>
        <item x="22"/>
        <item x="23"/>
        <item x="38"/>
        <item x="31"/>
        <item x="39"/>
        <item x="40"/>
        <item x="41"/>
        <item x="42"/>
        <item x="43"/>
        <item x="44"/>
        <item x="45"/>
        <item x="46"/>
        <item x="47"/>
        <item x="48"/>
        <item x="7"/>
        <item x="27"/>
        <item x="33"/>
        <item x="49"/>
        <item x="50"/>
        <item x="51"/>
        <item x="52"/>
        <item x="53"/>
        <item x="16"/>
        <item x="34"/>
        <item x="37"/>
        <item x="54"/>
        <item x="55"/>
        <item x="56"/>
        <item x="57"/>
        <item x="58"/>
        <item x="59"/>
        <item x="61"/>
        <item x="62"/>
        <item x="63"/>
        <item x="64"/>
        <item x="65"/>
        <item x="66"/>
        <item x="70"/>
        <item x="71"/>
        <item x="72"/>
        <item x="73"/>
        <item x="74"/>
        <item x="60"/>
        <item x="10"/>
        <item x="67"/>
        <item x="68"/>
        <item x="69"/>
        <item x="75"/>
        <item t="default"/>
      </items>
    </pivotField>
    <pivotField showAll="0"/>
    <pivotField showAll="0">
      <items count="11">
        <item x="3"/>
        <item x="4"/>
        <item x="0"/>
        <item x="1"/>
        <item x="5"/>
        <item x="2"/>
        <item x="7"/>
        <item x="8"/>
        <item x="9"/>
        <item x="6"/>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numFmtId="164" showAll="0"/>
    <pivotField showAll="0"/>
    <pivotField showAll="0"/>
    <pivotField numFmtId="164" showAll="0"/>
    <pivotField showAll="0"/>
  </pivotFields>
  <rowFields count="1">
    <field x="7"/>
  </rowFields>
  <rowItems count="6">
    <i>
      <x/>
    </i>
    <i>
      <x v="42"/>
    </i>
    <i>
      <x v="49"/>
    </i>
    <i>
      <x v="52"/>
    </i>
    <i>
      <x v="67"/>
    </i>
    <i t="grand">
      <x/>
    </i>
  </rowItems>
  <colFields count="1">
    <field x="-2"/>
  </colFields>
  <colItems count="2">
    <i>
      <x/>
    </i>
    <i i="1">
      <x v="1"/>
    </i>
  </colItems>
  <dataFields count="2">
    <dataField name="Estimated Budget" fld="11" baseField="5" baseItem="1" numFmtId="3"/>
    <dataField name="Approved_Budget" fld="12" baseField="5" baseItem="1" numFmtId="3"/>
  </dataFields>
  <formats count="2">
    <format dxfId="4">
      <pivotArea outline="0" collapsedLevelsAreSubtotals="1" fieldPosition="0"/>
    </format>
    <format dxfId="3">
      <pivotArea dataOnly="0" labelOnly="1" outline="0" fieldPosition="0">
        <references count="1">
          <reference field="4294967294" count="2">
            <x v="0"/>
            <x v="1"/>
          </reference>
        </references>
      </pivotArea>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693698389">
      <items count="4">
        <i x="1" s="1"/>
        <i x="0" s="1"/>
        <i x="2"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693698389">
      <items count="31">
        <i x="19" s="1"/>
        <i x="13" s="1"/>
        <i x="12"/>
        <i x="21"/>
        <i x="4"/>
        <i x="6"/>
        <i x="16"/>
        <i x="30"/>
        <i x="5"/>
        <i x="26"/>
        <i x="23"/>
        <i x="25"/>
        <i x="2"/>
        <i x="7"/>
        <i x="9"/>
        <i x="3"/>
        <i x="1"/>
        <i x="28"/>
        <i x="0"/>
        <i x="17"/>
        <i x="11"/>
        <i x="10"/>
        <i x="29"/>
        <i x="27"/>
        <i x="20"/>
        <i x="15"/>
        <i x="24"/>
        <i x="18"/>
        <i x="22"/>
        <i x="14"/>
        <i x="8"/>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693698389">
      <items count="10">
        <i x="7" s="1"/>
        <i x="6" s="1" nd="1"/>
        <i x="4" s="1" nd="1"/>
        <i x="5" s="1" nd="1"/>
        <i x="3" s="1" nd="1"/>
        <i x="2" s="1" nd="1"/>
        <i x="9" s="1" nd="1"/>
        <i x="8" s="1" nd="1"/>
        <i x="0" s="1" nd="1"/>
        <i x="1"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693698389">
      <items count="10">
        <i x="7" s="1"/>
        <i x="3" s="1"/>
        <i x="1" s="1"/>
        <i x="9" s="1" nd="1"/>
        <i x="6" s="1" nd="1"/>
        <i x="4" s="1" nd="1"/>
        <i x="0" s="1" nd="1"/>
        <i x="5" s="1" nd="1"/>
        <i x="8"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M10" dT="2023-02-09T15:08:20.39" personId="{25485ED3-42D9-422C-9A77-5F76F434CCD0}" id="{DBD976BE-1EA5-4F82-B578-BB477409D36E}">
    <text>Includes both A&amp;S swing space and FRP scope.</text>
  </threadedComment>
  <threadedComment ref="V11" dT="2023-10-18T18:20:46.13" personId="{25485ED3-42D9-422C-9A77-5F76F434CCD0}" id="{0D7C2364-F483-4882-9B78-2FE3EA78EB9B}">
    <text>Project will be joint funded, FPR / Divinity + Dean of Students.</text>
  </threadedComment>
  <threadedComment ref="V11" dT="2025-06-02T22:25:19.59" personId="{0C47CDF9-4FCC-43BD-B877-58DDF07E9905}" id="{1438AF98-010B-48B9-BB48-916F112D7638}" parentId="{0D7C2364-F483-4882-9B78-2FE3EA78EB9B}">
    <text>The split should be 75% Divinity (FRP) and 25% Student Affairs.</text>
  </threadedComment>
  <threadedComment ref="M29" dT="2023-02-09T15:08:20.39" personId="{25485ED3-42D9-422C-9A77-5F76F434CCD0}" id="{CD0EAA3A-8612-41AC-AEA9-2402CC95F0F9}">
    <text xml:space="preserve">Includes both A&amp;S third floor renovation FRP (VAV boxes) scope. </text>
  </threadedComment>
  <threadedComment ref="I39" dT="2023-08-23T18:07:53.49" personId="{25485ED3-42D9-422C-9A77-5F76F434CCD0}" id="{E105EA63-7C78-41C4-8D8F-2A5203F081DB}">
    <text>Feasibility study to occur FY24 as opex cost. Unsure timing of eventual construction.</text>
  </threadedComment>
  <threadedComment ref="I40" dT="2023-08-23T18:07:53.49" personId="{25485ED3-42D9-422C-9A77-5F76F434CCD0}" id="{E5436728-87D0-492B-83F9-14F3FA74D779}">
    <text>Feasibility study to occur FY24 as opex cost. Unsure timing of eventual construction.</text>
  </threadedComment>
  <threadedComment ref="I41"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27"/>
  <sheetViews>
    <sheetView showGridLines="0" zoomScale="130" zoomScaleNormal="130" workbookViewId="0">
      <selection activeCell="D92" sqref="D92"/>
    </sheetView>
  </sheetViews>
  <sheetFormatPr defaultRowHeight="14.6" x14ac:dyDescent="0.4"/>
  <cols>
    <col min="1" max="1" width="4.84375" customWidth="1"/>
  </cols>
  <sheetData>
    <row r="2" spans="2:9" ht="20.6" x14ac:dyDescent="0.55000000000000004">
      <c r="B2" s="161" t="s">
        <v>282</v>
      </c>
    </row>
    <row r="4" spans="2:9" x14ac:dyDescent="0.4">
      <c r="B4" s="21" t="s">
        <v>283</v>
      </c>
    </row>
    <row r="5" spans="2:9" x14ac:dyDescent="0.4">
      <c r="B5" s="21" t="s">
        <v>288</v>
      </c>
    </row>
    <row r="6" spans="2:9" x14ac:dyDescent="0.4">
      <c r="I6" s="145"/>
    </row>
    <row r="8" spans="2:9" x14ac:dyDescent="0.4">
      <c r="B8" s="21" t="s">
        <v>291</v>
      </c>
    </row>
    <row r="9" spans="2:9" x14ac:dyDescent="0.4">
      <c r="B9" s="21" t="s">
        <v>284</v>
      </c>
    </row>
    <row r="10" spans="2:9" x14ac:dyDescent="0.4">
      <c r="B10" s="21" t="s">
        <v>289</v>
      </c>
    </row>
    <row r="11" spans="2:9" x14ac:dyDescent="0.4">
      <c r="B11" s="21" t="s">
        <v>290</v>
      </c>
    </row>
    <row r="12" spans="2:9" x14ac:dyDescent="0.4">
      <c r="B12" s="21" t="s">
        <v>292</v>
      </c>
    </row>
    <row r="13" spans="2:9" x14ac:dyDescent="0.4">
      <c r="B13" s="21" t="s">
        <v>293</v>
      </c>
    </row>
    <row r="14" spans="2:9" ht="15.45" customHeight="1" x14ac:dyDescent="0.4"/>
    <row r="15" spans="2:9" ht="15.45" customHeight="1" x14ac:dyDescent="0.4"/>
    <row r="16" spans="2:9" ht="15.45" customHeight="1" x14ac:dyDescent="0.4"/>
    <row r="17" spans="2:2" ht="15.45" customHeight="1" x14ac:dyDescent="0.4"/>
    <row r="18" spans="2:2" ht="15.45" customHeight="1" x14ac:dyDescent="0.4"/>
    <row r="19" spans="2:2" ht="15.45" customHeight="1" x14ac:dyDescent="0.4"/>
    <row r="20" spans="2:2" ht="15.45" customHeight="1" x14ac:dyDescent="0.4"/>
    <row r="21" spans="2:2" ht="15.45" customHeight="1" x14ac:dyDescent="0.4"/>
    <row r="22" spans="2:2" ht="15.45" customHeight="1" x14ac:dyDescent="0.4"/>
    <row r="23" spans="2:2" ht="15.45" customHeight="1" x14ac:dyDescent="0.4"/>
    <row r="24" spans="2:2" ht="15.45" customHeight="1" x14ac:dyDescent="0.4"/>
    <row r="27" spans="2:2" ht="20.6" x14ac:dyDescent="0.55000000000000004">
      <c r="B27" s="161" t="s">
        <v>433</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Status'!C:K,8,FALSE)</f>
        <v>Complete</v>
      </c>
      <c r="G4" s="11" t="str">
        <f>VLOOKUP(A4,'Project Status'!C:L,9,FALSE)</f>
        <v>Finalized</v>
      </c>
      <c r="H4" s="39">
        <f>VLOOKUP(A4,'Project Status'!C:N,11,FALSE)</f>
        <v>1216485.5</v>
      </c>
      <c r="I4" s="172">
        <f>VLOOKUP(A4,'Project Status'!C:O,13,FALSE)</f>
        <v>1212084.54</v>
      </c>
    </row>
    <row r="8" spans="1:11" x14ac:dyDescent="0.4">
      <c r="E8" s="40" t="s">
        <v>123</v>
      </c>
    </row>
    <row r="9" spans="1:11" x14ac:dyDescent="0.4">
      <c r="E9" s="21" t="s">
        <v>133</v>
      </c>
      <c r="F9" s="32">
        <v>44769</v>
      </c>
      <c r="H9" s="41">
        <v>1216485.5</v>
      </c>
    </row>
    <row r="10" spans="1:11" x14ac:dyDescent="0.4">
      <c r="E10" s="21" t="s">
        <v>344</v>
      </c>
      <c r="F10" s="206" t="s">
        <v>296</v>
      </c>
      <c r="H10" s="41">
        <v>-4400.96</v>
      </c>
    </row>
    <row r="13" spans="1:11" x14ac:dyDescent="0.4">
      <c r="F13" s="10"/>
      <c r="G13" s="10"/>
      <c r="H13" s="44"/>
    </row>
    <row r="18" spans="5:8" x14ac:dyDescent="0.4">
      <c r="E18" s="135" t="s">
        <v>260</v>
      </c>
      <c r="F18" s="136"/>
      <c r="G18" s="135"/>
      <c r="H18" s="137">
        <f>SUM(H9:H17)</f>
        <v>1212084.54</v>
      </c>
    </row>
    <row r="20" spans="5:8" x14ac:dyDescent="0.4">
      <c r="E20" s="138" t="s">
        <v>135</v>
      </c>
      <c r="F20" s="138"/>
      <c r="G20" s="138"/>
      <c r="H20" s="139">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5" width="28.84375" bestFit="1" customWidth="1"/>
    <col min="6" max="6" width="16.53515625" bestFit="1" customWidth="1"/>
    <col min="7" max="7" width="11.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10146</v>
      </c>
      <c r="B4" s="11">
        <f>VLOOKUP(A4,'Project Status'!C:D,2,FALSE)</f>
        <v>8206</v>
      </c>
      <c r="C4" s="11" t="str">
        <f>VLOOKUP(A4,'Project Status'!C:E,3,FALSE)</f>
        <v>CP_400025</v>
      </c>
      <c r="D4" s="11" t="str">
        <f>VLOOKUP(A4,'Project Status'!C:F,4,FALSE)</f>
        <v>19100 - Nursing: Business Affairs</v>
      </c>
      <c r="E4" s="11" t="str">
        <f>VLOOKUP(A4,'Project Status'!C:I,7,FALSE)</f>
        <v>Godchaux Hall - HVAC Upgrade</v>
      </c>
      <c r="F4" s="11" t="str">
        <f>VLOOKUP(A4,'Project Status'!C:K,9,FALSE)</f>
        <v>Financial Closeout</v>
      </c>
      <c r="G4" s="11" t="str">
        <f>VLOOKUP(A4,'Project Status'!C:L,10,FALSE)</f>
        <v>Sean Rewers</v>
      </c>
      <c r="H4" s="88">
        <f>VLOOKUP(A4,'Project Status'!C:N,12,FALSE)</f>
        <v>318057</v>
      </c>
      <c r="I4" s="172">
        <f>VLOOKUP(A4,'Project Status'!C:Q,15,FALSE)</f>
        <v>253826.81</v>
      </c>
    </row>
    <row r="8" spans="1:11" x14ac:dyDescent="0.4">
      <c r="E8" s="40" t="s">
        <v>123</v>
      </c>
    </row>
    <row r="9" spans="1:11" x14ac:dyDescent="0.4">
      <c r="E9" s="21" t="s">
        <v>212</v>
      </c>
      <c r="F9" s="32" t="s">
        <v>145</v>
      </c>
      <c r="H9" s="41">
        <v>4900</v>
      </c>
    </row>
    <row r="10" spans="1:11" x14ac:dyDescent="0.4">
      <c r="E10" s="31" t="s">
        <v>216</v>
      </c>
      <c r="F10" s="19"/>
      <c r="G10" s="19"/>
      <c r="H10" s="70">
        <v>57200</v>
      </c>
    </row>
    <row r="11" spans="1:11" x14ac:dyDescent="0.4">
      <c r="H11" s="43">
        <f>SUM(H9:H10)</f>
        <v>62100</v>
      </c>
    </row>
    <row r="12" spans="1:11" x14ac:dyDescent="0.4">
      <c r="H12" s="44"/>
    </row>
    <row r="13" spans="1:11" x14ac:dyDescent="0.4">
      <c r="E13" s="21" t="s">
        <v>317</v>
      </c>
      <c r="F13" s="32" t="s">
        <v>316</v>
      </c>
      <c r="G13" s="10"/>
      <c r="H13" s="42">
        <v>11500</v>
      </c>
    </row>
    <row r="14" spans="1:11" x14ac:dyDescent="0.4">
      <c r="E14" s="21" t="s">
        <v>344</v>
      </c>
      <c r="F14" t="s">
        <v>172</v>
      </c>
      <c r="H14" s="42">
        <v>244457</v>
      </c>
    </row>
    <row r="15" spans="1:11" x14ac:dyDescent="0.4">
      <c r="E15" s="135" t="s">
        <v>357</v>
      </c>
      <c r="F15" s="136"/>
      <c r="G15" s="135"/>
      <c r="H15" s="137">
        <f>SUM(H13:H14)</f>
        <v>255957</v>
      </c>
    </row>
    <row r="20" spans="5:8" x14ac:dyDescent="0.4">
      <c r="E20" s="138" t="s">
        <v>135</v>
      </c>
      <c r="F20" s="138"/>
      <c r="G20" s="138"/>
      <c r="H20" s="139">
        <f>H4-H11-H15</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07421875" bestFit="1" customWidth="1"/>
    <col min="5" max="5" width="41.3046875" bestFit="1" customWidth="1"/>
    <col min="6" max="6" width="32.3046875" bestFit="1" customWidth="1"/>
    <col min="7" max="7" width="13.84375" bestFit="1" customWidth="1"/>
    <col min="8" max="8" width="16.53515625" bestFit="1" customWidth="1"/>
    <col min="9" max="9" width="1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Status'!C:K,8,FALSE)</f>
        <v>Complete</v>
      </c>
      <c r="G4" s="11" t="str">
        <f>VLOOKUP(A4,'Project Status'!C:L,9,FALSE)</f>
        <v>Finalized</v>
      </c>
      <c r="H4" s="39">
        <f>VLOOKUP(A4,'Project Status'!C:N,11,FALSE)</f>
        <v>1445389</v>
      </c>
      <c r="I4" s="172">
        <f>VLOOKUP(A4,'Project Status'!C:O,13,FALSE)</f>
        <v>1352423.14</v>
      </c>
    </row>
    <row r="8" spans="1:11" x14ac:dyDescent="0.4">
      <c r="E8" s="40" t="s">
        <v>123</v>
      </c>
    </row>
    <row r="9" spans="1:11" x14ac:dyDescent="0.4">
      <c r="E9" s="21" t="s">
        <v>133</v>
      </c>
      <c r="F9" s="32">
        <v>44769</v>
      </c>
      <c r="H9" s="41">
        <v>722694.5</v>
      </c>
    </row>
    <row r="10" spans="1:11" x14ac:dyDescent="0.4">
      <c r="E10" s="31" t="s">
        <v>134</v>
      </c>
      <c r="F10" s="19"/>
      <c r="G10" s="19"/>
      <c r="H10" s="70">
        <f>H4*0.5</f>
        <v>722694.5</v>
      </c>
    </row>
    <row r="11" spans="1:11" x14ac:dyDescent="0.4">
      <c r="E11" s="21" t="s">
        <v>422</v>
      </c>
      <c r="H11" s="41">
        <v>-92965.86</v>
      </c>
    </row>
    <row r="12" spans="1:11" x14ac:dyDescent="0.4">
      <c r="H12" s="43">
        <f>SUM(H9:H11)</f>
        <v>1352423.14</v>
      </c>
    </row>
    <row r="13" spans="1:11" x14ac:dyDescent="0.4">
      <c r="G13" s="10"/>
      <c r="H13" s="44"/>
    </row>
    <row r="18" spans="5:8" x14ac:dyDescent="0.4">
      <c r="E18" s="135" t="s">
        <v>260</v>
      </c>
      <c r="F18" s="136"/>
      <c r="G18" s="135"/>
      <c r="H18" s="137">
        <f>H9+H11</f>
        <v>629728.64</v>
      </c>
    </row>
    <row r="20" spans="5:8" x14ac:dyDescent="0.4">
      <c r="E20" s="138" t="s">
        <v>135</v>
      </c>
      <c r="F20" s="138"/>
      <c r="G20" s="138"/>
      <c r="H20" s="139">
        <f>I4-H12</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04687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Status'!C:K,8,FALSE)</f>
        <v>Complete</v>
      </c>
      <c r="G4" s="11" t="str">
        <f>VLOOKUP(A4,'Project Status'!C:L,9,FALSE)</f>
        <v>Finalized</v>
      </c>
      <c r="H4" s="39">
        <f>VLOOKUP(A4,'Project Status'!C:N,11,FALSE)</f>
        <v>327890</v>
      </c>
      <c r="I4" s="172">
        <f>VLOOKUP(A4,'Project Status'!C:O,13,FALSE)</f>
        <v>280600</v>
      </c>
    </row>
    <row r="8" spans="1:11" x14ac:dyDescent="0.4">
      <c r="E8" s="40" t="s">
        <v>123</v>
      </c>
    </row>
    <row r="9" spans="1:11" x14ac:dyDescent="0.4">
      <c r="E9" s="21" t="s">
        <v>165</v>
      </c>
      <c r="F9" s="32" t="s">
        <v>138</v>
      </c>
      <c r="H9" s="41">
        <v>12900</v>
      </c>
    </row>
    <row r="10" spans="1:11" x14ac:dyDescent="0.4">
      <c r="E10" s="21" t="s">
        <v>165</v>
      </c>
      <c r="F10" t="s">
        <v>145</v>
      </c>
      <c r="H10" s="42">
        <v>2200</v>
      </c>
    </row>
    <row r="11" spans="1:11" x14ac:dyDescent="0.4">
      <c r="E11" s="21" t="s">
        <v>212</v>
      </c>
      <c r="F11" t="s">
        <v>172</v>
      </c>
      <c r="H11" s="42">
        <v>312790</v>
      </c>
    </row>
    <row r="12" spans="1:11" x14ac:dyDescent="0.4">
      <c r="E12" s="21" t="s">
        <v>375</v>
      </c>
      <c r="F12" t="s">
        <v>296</v>
      </c>
      <c r="H12" s="41">
        <v>-47290</v>
      </c>
    </row>
    <row r="18" spans="5:8" x14ac:dyDescent="0.4">
      <c r="E18" s="135" t="s">
        <v>260</v>
      </c>
      <c r="F18" s="136"/>
      <c r="G18" s="135"/>
      <c r="H18" s="137">
        <f>SUM(H9:H17)</f>
        <v>280600</v>
      </c>
    </row>
    <row r="20" spans="5:8" x14ac:dyDescent="0.4">
      <c r="E20" s="138" t="s">
        <v>135</v>
      </c>
      <c r="F20" s="138"/>
      <c r="G20" s="138"/>
      <c r="H20" s="139">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rgb="FFFFFF93"/>
  </sheetPr>
  <dimension ref="A1:L22"/>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0.3046875" bestFit="1" customWidth="1"/>
    <col min="5" max="5" width="57.53515625" bestFit="1" customWidth="1"/>
    <col min="6" max="6" width="30.53515625" bestFit="1" customWidth="1"/>
    <col min="7" max="7" width="10.3046875" bestFit="1" customWidth="1"/>
    <col min="8" max="9" width="16.3046875" customWidth="1"/>
    <col min="10" max="10" width="65" bestFit="1" customWidth="1"/>
    <col min="11" max="11" width="15.69140625" bestFit="1" customWidth="1"/>
    <col min="12" max="12" width="11.3046875" bestFit="1" customWidth="1"/>
  </cols>
  <sheetData>
    <row r="1" spans="1:12" x14ac:dyDescent="0.4">
      <c r="K1" s="140" t="s">
        <v>264</v>
      </c>
    </row>
    <row r="3" spans="1:12" x14ac:dyDescent="0.4">
      <c r="A3" s="36" t="s">
        <v>124</v>
      </c>
      <c r="B3" s="35" t="s">
        <v>125</v>
      </c>
      <c r="C3" s="36" t="s">
        <v>126</v>
      </c>
      <c r="D3" s="37" t="s">
        <v>86</v>
      </c>
      <c r="E3" s="37" t="s">
        <v>87</v>
      </c>
      <c r="F3" s="36" t="s">
        <v>127</v>
      </c>
      <c r="G3" s="36" t="s">
        <v>128</v>
      </c>
      <c r="H3" s="38" t="s">
        <v>129</v>
      </c>
      <c r="I3" s="171" t="s">
        <v>294</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Status'!C:K,9,FALSE)</f>
        <v>Warranty or Construction Closeout</v>
      </c>
      <c r="G4" s="11" t="str">
        <f>VLOOKUP(A4,'Project Status'!C:L,10,FALSE)</f>
        <v>Hans Mooy</v>
      </c>
      <c r="H4" s="88">
        <f>VLOOKUP(A4,'Project Status'!C:N,12,FALSE)</f>
        <v>3800000</v>
      </c>
      <c r="I4" s="172">
        <f>VLOOKUP(A4,'Project Status'!C:Q,15,FALSE)</f>
        <v>3542129.41</v>
      </c>
    </row>
    <row r="5" spans="1:12" x14ac:dyDescent="0.4">
      <c r="H5" s="41"/>
    </row>
    <row r="6" spans="1:12" x14ac:dyDescent="0.4">
      <c r="H6" s="41"/>
      <c r="J6" s="68">
        <v>0.75</v>
      </c>
      <c r="K6" s="68">
        <v>0.25</v>
      </c>
    </row>
    <row r="7" spans="1:12" ht="15" thickBot="1" x14ac:dyDescent="0.45">
      <c r="H7" s="41"/>
      <c r="J7" s="69" t="s">
        <v>177</v>
      </c>
      <c r="K7" s="69" t="s">
        <v>178</v>
      </c>
    </row>
    <row r="8" spans="1:12" x14ac:dyDescent="0.4">
      <c r="E8" s="40" t="s">
        <v>123</v>
      </c>
      <c r="H8" s="41"/>
    </row>
    <row r="9" spans="1:12" x14ac:dyDescent="0.4">
      <c r="E9" s="21" t="s">
        <v>179</v>
      </c>
      <c r="H9" s="258">
        <f>39900+3000+3590</f>
        <v>46490</v>
      </c>
      <c r="J9" s="42"/>
      <c r="K9" s="42"/>
    </row>
    <row r="10" spans="1:12" x14ac:dyDescent="0.4">
      <c r="E10" s="259" t="s">
        <v>173</v>
      </c>
      <c r="F10" s="10" t="s">
        <v>172</v>
      </c>
      <c r="G10" s="10"/>
      <c r="H10" s="67">
        <f>J10</f>
        <v>937.5</v>
      </c>
      <c r="I10" s="68"/>
      <c r="J10" s="42">
        <f>L10*J6</f>
        <v>937.5</v>
      </c>
      <c r="K10" s="42">
        <f>L10*K6</f>
        <v>312.5</v>
      </c>
      <c r="L10" s="64">
        <v>1250</v>
      </c>
    </row>
    <row r="11" spans="1:12" x14ac:dyDescent="0.4">
      <c r="E11" s="259" t="s">
        <v>173</v>
      </c>
      <c r="F11" s="260" t="s">
        <v>170</v>
      </c>
      <c r="G11" s="10"/>
      <c r="H11" s="67">
        <f>J11</f>
        <v>61425</v>
      </c>
      <c r="J11" s="42">
        <f>L11*J6</f>
        <v>61425</v>
      </c>
      <c r="K11" s="42">
        <f>L11*K6</f>
        <v>20475</v>
      </c>
      <c r="L11" s="64">
        <v>81900</v>
      </c>
    </row>
    <row r="12" spans="1:12" x14ac:dyDescent="0.4">
      <c r="E12" s="21" t="s">
        <v>180</v>
      </c>
      <c r="F12" s="32"/>
      <c r="H12" s="258">
        <f>K10+K11</f>
        <v>20787.5</v>
      </c>
      <c r="J12" s="42"/>
      <c r="K12" s="42"/>
    </row>
    <row r="13" spans="1:12" x14ac:dyDescent="0.4">
      <c r="E13" s="259" t="s">
        <v>223</v>
      </c>
      <c r="F13" s="10" t="s">
        <v>218</v>
      </c>
      <c r="G13" s="10"/>
      <c r="H13" s="261">
        <f>J13</f>
        <v>7500</v>
      </c>
      <c r="J13" s="42">
        <f>L13*J6</f>
        <v>7500</v>
      </c>
      <c r="K13" s="42">
        <f>L13*K6</f>
        <v>2500</v>
      </c>
      <c r="L13" s="64">
        <v>10000</v>
      </c>
    </row>
    <row r="14" spans="1:12" x14ac:dyDescent="0.4">
      <c r="E14" s="21" t="s">
        <v>224</v>
      </c>
      <c r="H14" s="98">
        <f>K13</f>
        <v>2500</v>
      </c>
      <c r="J14" s="42"/>
      <c r="K14" s="42"/>
    </row>
    <row r="15" spans="1:12" x14ac:dyDescent="0.4">
      <c r="E15" s="259" t="s">
        <v>317</v>
      </c>
      <c r="F15" s="10" t="s">
        <v>318</v>
      </c>
      <c r="G15" s="10"/>
      <c r="H15" s="261">
        <v>3660360</v>
      </c>
      <c r="J15" s="42"/>
      <c r="K15" s="42"/>
    </row>
    <row r="16" spans="1:12" x14ac:dyDescent="0.4">
      <c r="J16" s="42" t="s">
        <v>319</v>
      </c>
      <c r="K16" s="42"/>
    </row>
    <row r="17" spans="5:8" x14ac:dyDescent="0.4">
      <c r="H17" s="43">
        <f>SUM(H9:H16)</f>
        <v>3800000</v>
      </c>
    </row>
    <row r="19" spans="5:8" x14ac:dyDescent="0.4">
      <c r="F19" s="10"/>
      <c r="G19" s="10"/>
      <c r="H19" s="67"/>
    </row>
    <row r="20" spans="5:8" x14ac:dyDescent="0.4">
      <c r="E20" s="135" t="s">
        <v>260</v>
      </c>
      <c r="F20" s="136"/>
      <c r="G20" s="135"/>
      <c r="H20" s="137">
        <f>H10+H11+H13+H15</f>
        <v>3730222.5</v>
      </c>
    </row>
    <row r="22" spans="5:8" x14ac:dyDescent="0.4">
      <c r="E22" s="138" t="s">
        <v>135</v>
      </c>
      <c r="F22" s="138"/>
      <c r="G22" s="138"/>
      <c r="H22" s="139">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rgb="FFFFFF93"/>
  </sheetPr>
  <dimension ref="A1:L23"/>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48.07421875" bestFit="1" customWidth="1"/>
    <col min="6" max="6" width="30.53515625" bestFit="1" customWidth="1"/>
    <col min="7" max="7" width="12.3046875" bestFit="1" customWidth="1"/>
    <col min="8" max="9" width="16.53515625" customWidth="1"/>
    <col min="10" max="10" width="14.07421875" bestFit="1" customWidth="1"/>
    <col min="11" max="11" width="15.69140625" bestFit="1" customWidth="1"/>
    <col min="12" max="12" width="14.07421875" bestFit="1" customWidth="1"/>
  </cols>
  <sheetData>
    <row r="1" spans="1:12" x14ac:dyDescent="0.4">
      <c r="K1" s="140" t="s">
        <v>264</v>
      </c>
    </row>
    <row r="3" spans="1:12" x14ac:dyDescent="0.4">
      <c r="A3" s="36" t="s">
        <v>124</v>
      </c>
      <c r="B3" s="35" t="s">
        <v>125</v>
      </c>
      <c r="C3" s="36" t="s">
        <v>126</v>
      </c>
      <c r="D3" s="37" t="s">
        <v>86</v>
      </c>
      <c r="E3" s="37" t="s">
        <v>87</v>
      </c>
      <c r="F3" s="36" t="s">
        <v>127</v>
      </c>
      <c r="G3" s="36" t="s">
        <v>128</v>
      </c>
      <c r="H3" s="38" t="s">
        <v>129</v>
      </c>
      <c r="I3" s="171" t="s">
        <v>294</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Status'!C:K,9,FALSE)</f>
        <v>Warranty or Construction Closeout</v>
      </c>
      <c r="G4" s="11" t="str">
        <f>VLOOKUP(A4,'Project Status'!C:L,10,FALSE)</f>
        <v>Cathy Bartlett</v>
      </c>
      <c r="H4" s="88">
        <f>VLOOKUP(A4,'Project Status'!C:N,12,FALSE)</f>
        <v>2790000</v>
      </c>
      <c r="I4" s="172">
        <f>VLOOKUP(A4,'Project Status'!C:Q,15,FALSE)</f>
        <v>2652824.48</v>
      </c>
    </row>
    <row r="5" spans="1:12" x14ac:dyDescent="0.4">
      <c r="H5" s="41"/>
    </row>
    <row r="6" spans="1:12" x14ac:dyDescent="0.4">
      <c r="H6" s="41"/>
      <c r="J6" s="68"/>
      <c r="K6" s="68"/>
    </row>
    <row r="7" spans="1:12" ht="15" thickBot="1" x14ac:dyDescent="0.45">
      <c r="H7" s="41"/>
      <c r="J7" s="69" t="s">
        <v>177</v>
      </c>
      <c r="K7" s="69" t="s">
        <v>119</v>
      </c>
    </row>
    <row r="8" spans="1:12" x14ac:dyDescent="0.4">
      <c r="E8" s="40" t="s">
        <v>123</v>
      </c>
      <c r="H8" s="41"/>
    </row>
    <row r="9" spans="1:12" x14ac:dyDescent="0.4">
      <c r="E9" s="10" t="s">
        <v>234</v>
      </c>
      <c r="F9" s="10" t="s">
        <v>138</v>
      </c>
      <c r="G9" s="10"/>
      <c r="H9" s="67">
        <f>J9</f>
        <v>12100</v>
      </c>
      <c r="J9" s="42">
        <v>12100</v>
      </c>
      <c r="K9" s="42">
        <v>6900</v>
      </c>
      <c r="L9" s="64">
        <v>19000</v>
      </c>
    </row>
    <row r="10" spans="1:12" x14ac:dyDescent="0.4">
      <c r="E10" s="21" t="s">
        <v>235</v>
      </c>
      <c r="F10" s="32"/>
      <c r="H10" s="41">
        <f>K9</f>
        <v>6900</v>
      </c>
      <c r="I10" s="68"/>
      <c r="J10" s="42"/>
      <c r="K10" s="42"/>
    </row>
    <row r="11" spans="1:12" x14ac:dyDescent="0.4">
      <c r="E11" s="262" t="s">
        <v>261</v>
      </c>
      <c r="F11" s="10" t="s">
        <v>211</v>
      </c>
      <c r="G11" s="10"/>
      <c r="H11" s="67">
        <v>69000</v>
      </c>
      <c r="J11" s="42">
        <v>69000</v>
      </c>
      <c r="K11" s="42">
        <v>32500</v>
      </c>
      <c r="L11" s="64">
        <v>101500</v>
      </c>
    </row>
    <row r="12" spans="1:12" x14ac:dyDescent="0.4">
      <c r="E12" s="21" t="s">
        <v>235</v>
      </c>
      <c r="H12" s="97">
        <v>32500</v>
      </c>
      <c r="J12" s="42"/>
      <c r="K12" s="42"/>
    </row>
    <row r="13" spans="1:12" x14ac:dyDescent="0.4">
      <c r="E13" s="262" t="s">
        <v>307</v>
      </c>
      <c r="F13" s="10" t="s">
        <v>145</v>
      </c>
      <c r="G13" s="10"/>
      <c r="H13" s="261">
        <f>SUM(1110000-H11-H9)</f>
        <v>1028900</v>
      </c>
      <c r="J13" s="41">
        <v>1028900</v>
      </c>
      <c r="K13" s="41">
        <v>1640600</v>
      </c>
      <c r="L13" s="64">
        <f>SUM(J13:K13)</f>
        <v>2669500</v>
      </c>
    </row>
    <row r="14" spans="1:12" x14ac:dyDescent="0.4">
      <c r="E14" s="21" t="s">
        <v>275</v>
      </c>
      <c r="H14" s="97">
        <f>SUM(1680000-H12-H10)</f>
        <v>1640600</v>
      </c>
      <c r="J14" s="42"/>
      <c r="K14" s="42"/>
    </row>
    <row r="15" spans="1:12" x14ac:dyDescent="0.4">
      <c r="F15" s="10"/>
      <c r="G15" s="10"/>
      <c r="H15" s="96"/>
    </row>
    <row r="16" spans="1:12" x14ac:dyDescent="0.4">
      <c r="H16" s="43">
        <f>SUM(H9:H14)</f>
        <v>2790000</v>
      </c>
      <c r="J16" s="43">
        <f>SUM(J9:J13)</f>
        <v>1110000</v>
      </c>
      <c r="K16" s="43">
        <f>SUM(K9:K13)</f>
        <v>1680000</v>
      </c>
    </row>
    <row r="18" spans="5:8" x14ac:dyDescent="0.4">
      <c r="E18" s="135" t="s">
        <v>260</v>
      </c>
      <c r="F18" s="136"/>
      <c r="G18" s="135"/>
      <c r="H18" s="137">
        <f>H9+H11+H13</f>
        <v>1110000</v>
      </c>
    </row>
    <row r="20" spans="5:8" x14ac:dyDescent="0.4">
      <c r="E20" s="138" t="s">
        <v>135</v>
      </c>
      <c r="F20" s="138"/>
      <c r="G20" s="138"/>
      <c r="H20" s="139">
        <f>H4-H16</f>
        <v>0</v>
      </c>
    </row>
    <row r="23" spans="5:8" x14ac:dyDescent="0.4">
      <c r="H23" s="42"/>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topLeftCell="B1" zoomScale="90" zoomScaleNormal="90" workbookViewId="0">
      <selection activeCell="M1" sqref="M1"/>
    </sheetView>
  </sheetViews>
  <sheetFormatPr defaultRowHeight="14.6" x14ac:dyDescent="0.4"/>
  <cols>
    <col min="1" max="1" width="7.84375" bestFit="1" customWidth="1"/>
    <col min="2" max="2" width="5.3046875" bestFit="1" customWidth="1"/>
    <col min="3" max="3" width="10.3046875" bestFit="1" customWidth="1"/>
    <col min="4" max="4" width="30.3046875" bestFit="1" customWidth="1"/>
    <col min="5" max="5" width="62.84375" bestFit="1" customWidth="1"/>
    <col min="6" max="6" width="7.3046875" bestFit="1" customWidth="1"/>
    <col min="7" max="7" width="10.3046875" customWidth="1"/>
    <col min="8" max="9" width="15.84375" customWidth="1"/>
    <col min="10" max="10" width="16.07421875" bestFit="1" customWidth="1"/>
    <col min="11" max="11" width="15.69140625" bestFit="1" customWidth="1"/>
    <col min="12" max="12" width="11.53515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Status'!C:K,9,FALSE)</f>
        <v>Construction</v>
      </c>
      <c r="G4" s="11" t="str">
        <f>VLOOKUP(A4,'Project Status'!C:L,10,FALSE)</f>
        <v>Jay Surprenant</v>
      </c>
      <c r="H4" s="88">
        <f>VLOOKUP(A4,'Project Status'!C:N,12,FALSE)</f>
        <v>3600000</v>
      </c>
      <c r="I4" s="172">
        <f>VLOOKUP(A4,'Project Status'!C:Q,15,FALSE)</f>
        <v>19964.849999999999</v>
      </c>
    </row>
    <row r="5" spans="1:11" x14ac:dyDescent="0.4">
      <c r="H5" s="41"/>
    </row>
    <row r="6" spans="1:11" x14ac:dyDescent="0.4">
      <c r="H6" s="41"/>
      <c r="J6" s="68"/>
      <c r="K6" s="68"/>
    </row>
    <row r="7" spans="1:11" x14ac:dyDescent="0.4">
      <c r="H7" s="41"/>
    </row>
    <row r="8" spans="1:11" x14ac:dyDescent="0.4">
      <c r="E8" s="40" t="s">
        <v>123</v>
      </c>
      <c r="H8" s="293" t="s">
        <v>195</v>
      </c>
      <c r="I8" s="54" t="s">
        <v>611</v>
      </c>
    </row>
    <row r="9" spans="1:11" x14ac:dyDescent="0.4">
      <c r="E9" t="s">
        <v>234</v>
      </c>
      <c r="F9" t="s">
        <v>138</v>
      </c>
      <c r="H9" s="41">
        <v>26500</v>
      </c>
    </row>
    <row r="10" spans="1:11" x14ac:dyDescent="0.4">
      <c r="E10" s="25" t="s">
        <v>473</v>
      </c>
      <c r="F10" t="s">
        <v>145</v>
      </c>
      <c r="H10" s="41">
        <v>304500</v>
      </c>
    </row>
    <row r="11" spans="1:11" x14ac:dyDescent="0.4">
      <c r="E11" s="25" t="s">
        <v>610</v>
      </c>
      <c r="F11" t="s">
        <v>316</v>
      </c>
      <c r="G11" s="31"/>
      <c r="H11" s="41">
        <v>2369000</v>
      </c>
      <c r="I11" s="41">
        <v>900000</v>
      </c>
    </row>
    <row r="12" spans="1:11" x14ac:dyDescent="0.4">
      <c r="E12" s="21"/>
      <c r="F12" s="21"/>
      <c r="G12" s="21"/>
      <c r="H12" s="21"/>
      <c r="I12" s="21"/>
    </row>
    <row r="13" spans="1:11" x14ac:dyDescent="0.4">
      <c r="E13" s="31"/>
      <c r="F13" s="31"/>
      <c r="G13" s="31"/>
      <c r="H13" s="31"/>
      <c r="I13" s="31"/>
    </row>
    <row r="14" spans="1:11" x14ac:dyDescent="0.4">
      <c r="K14" s="42"/>
    </row>
    <row r="18" spans="5:9" x14ac:dyDescent="0.4">
      <c r="E18" s="135" t="s">
        <v>260</v>
      </c>
      <c r="F18" s="136"/>
      <c r="G18" s="135"/>
      <c r="H18" s="137">
        <f>SUM(H9:H17)</f>
        <v>2700000</v>
      </c>
      <c r="I18" s="137">
        <f>SUM(I9:I17)</f>
        <v>900000</v>
      </c>
    </row>
    <row r="19" spans="5:9" x14ac:dyDescent="0.4">
      <c r="H19" s="68">
        <f>H18/H4</f>
        <v>0.75</v>
      </c>
      <c r="I19" s="68">
        <f>I18/H4</f>
        <v>0.25</v>
      </c>
    </row>
    <row r="20" spans="5:9" x14ac:dyDescent="0.4">
      <c r="E20" s="138" t="s">
        <v>135</v>
      </c>
      <c r="F20" s="138"/>
      <c r="G20" s="138"/>
      <c r="H20" s="138"/>
      <c r="I20" s="139">
        <f>H4-H18-I18</f>
        <v>0</v>
      </c>
    </row>
  </sheetData>
  <phoneticPr fontId="5" type="noConversion"/>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Status'!C:K,8,FALSE)</f>
        <v>Complete</v>
      </c>
      <c r="G4" s="11" t="str">
        <f>VLOOKUP(A4,'Project Status'!C:L,9,FALSE)</f>
        <v>Finalized</v>
      </c>
      <c r="H4" s="39">
        <f>VLOOKUP(A4,'Project Status'!C:N,11,FALSE)</f>
        <v>456850</v>
      </c>
      <c r="I4" s="172">
        <f>VLOOKUP(A4,'Project Status'!C:O,13,FALSE)</f>
        <v>412000</v>
      </c>
    </row>
    <row r="8" spans="1:11" x14ac:dyDescent="0.4">
      <c r="E8" s="40" t="s">
        <v>123</v>
      </c>
    </row>
    <row r="9" spans="1:11" x14ac:dyDescent="0.4">
      <c r="E9" s="21" t="s">
        <v>133</v>
      </c>
      <c r="F9" s="202">
        <v>44769</v>
      </c>
      <c r="H9" s="41">
        <v>79415.5</v>
      </c>
    </row>
    <row r="10" spans="1:11" x14ac:dyDescent="0.4">
      <c r="E10" s="31" t="s">
        <v>136</v>
      </c>
      <c r="F10" s="19"/>
      <c r="G10" s="19"/>
      <c r="H10" s="70">
        <f>372434.5+5000</f>
        <v>377434.5</v>
      </c>
    </row>
    <row r="11" spans="1:11" x14ac:dyDescent="0.4">
      <c r="E11" s="21" t="s">
        <v>328</v>
      </c>
      <c r="F11" t="s">
        <v>296</v>
      </c>
      <c r="H11" s="41">
        <v>-44850</v>
      </c>
    </row>
    <row r="18" spans="5:8" x14ac:dyDescent="0.4">
      <c r="E18" s="135" t="s">
        <v>260</v>
      </c>
      <c r="F18" s="136"/>
      <c r="G18" s="135"/>
      <c r="H18" s="137">
        <f>SUM(H9:H17)</f>
        <v>412000</v>
      </c>
    </row>
    <row r="20" spans="5:8" x14ac:dyDescent="0.4">
      <c r="E20" s="138" t="s">
        <v>135</v>
      </c>
      <c r="F20" s="138"/>
      <c r="G20" s="138"/>
      <c r="H20" s="139">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Status'!C:K,8,FALSE)</f>
        <v>Complete</v>
      </c>
      <c r="G4" s="11" t="str">
        <f>VLOOKUP(A4,'Project Status'!C:L,9,FALSE)</f>
        <v>Finalized</v>
      </c>
      <c r="H4" s="88">
        <f>VLOOKUP(A4,'Project Status'!C:N,11,FALSE)</f>
        <v>344155.26</v>
      </c>
      <c r="I4" s="172">
        <f>VLOOKUP(A4,'Project Status'!C:O,13,FALSE)</f>
        <v>307776.26</v>
      </c>
    </row>
    <row r="8" spans="1:11" x14ac:dyDescent="0.4">
      <c r="E8" s="40" t="s">
        <v>123</v>
      </c>
    </row>
    <row r="9" spans="1:11" x14ac:dyDescent="0.4">
      <c r="E9" s="21" t="s">
        <v>261</v>
      </c>
      <c r="F9" s="32" t="s">
        <v>138</v>
      </c>
      <c r="H9" s="41">
        <v>344155.26</v>
      </c>
    </row>
    <row r="10" spans="1:11" x14ac:dyDescent="0.4">
      <c r="E10" s="21" t="s">
        <v>328</v>
      </c>
      <c r="F10" t="s">
        <v>296</v>
      </c>
      <c r="H10" s="41">
        <v>-36379</v>
      </c>
    </row>
    <row r="12" spans="1:11" x14ac:dyDescent="0.4">
      <c r="E12" s="21"/>
    </row>
    <row r="13" spans="1:11" x14ac:dyDescent="0.4">
      <c r="E13" s="21"/>
      <c r="F13" s="10"/>
      <c r="G13" s="10"/>
      <c r="H13" s="44"/>
    </row>
    <row r="14" spans="1:11" x14ac:dyDescent="0.4">
      <c r="E14" s="21"/>
    </row>
    <row r="18" spans="5:8" x14ac:dyDescent="0.4">
      <c r="E18" s="135" t="s">
        <v>260</v>
      </c>
      <c r="F18" s="136"/>
      <c r="G18" s="135"/>
      <c r="H18" s="137">
        <f>SUM(H9:H17)</f>
        <v>307776.26</v>
      </c>
    </row>
    <row r="20" spans="5:8" x14ac:dyDescent="0.4">
      <c r="E20" s="138" t="s">
        <v>135</v>
      </c>
      <c r="F20" s="138"/>
      <c r="G20" s="138"/>
      <c r="H20" s="139">
        <f>I4-H18</f>
        <v>0</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Status'!C:K,8,FALSE)</f>
        <v>Complete</v>
      </c>
      <c r="G4" s="11" t="str">
        <f>VLOOKUP(A4,'Project Status'!C:L,9,FALSE)</f>
        <v>Finalized</v>
      </c>
      <c r="H4" s="88">
        <f>VLOOKUP(A4,'Project Status'!C:N,11,FALSE)</f>
        <v>400000</v>
      </c>
      <c r="I4" s="172">
        <f>VLOOKUP(A4,'Project Status'!C:O,13,FALSE)</f>
        <v>362559.64</v>
      </c>
    </row>
    <row r="8" spans="1:11" x14ac:dyDescent="0.4">
      <c r="E8" s="40" t="s">
        <v>123</v>
      </c>
    </row>
    <row r="9" spans="1:11" x14ac:dyDescent="0.4">
      <c r="E9" s="21" t="s">
        <v>228</v>
      </c>
      <c r="F9" s="32" t="s">
        <v>138</v>
      </c>
      <c r="H9" s="41">
        <v>405791</v>
      </c>
    </row>
    <row r="10" spans="1:11" x14ac:dyDescent="0.4">
      <c r="E10" s="21" t="s">
        <v>375</v>
      </c>
      <c r="F10" t="s">
        <v>296</v>
      </c>
      <c r="H10" s="41">
        <v>-43231.360000000001</v>
      </c>
    </row>
    <row r="13" spans="1:11" x14ac:dyDescent="0.4">
      <c r="F13" s="10"/>
      <c r="G13" s="10"/>
      <c r="H13" s="44"/>
    </row>
    <row r="18" spans="5:8" x14ac:dyDescent="0.4">
      <c r="E18" s="135" t="s">
        <v>260</v>
      </c>
      <c r="F18" s="136"/>
      <c r="G18" s="135"/>
      <c r="H18" s="137">
        <f>SUM(H9:H17)</f>
        <v>362559.64</v>
      </c>
    </row>
    <row r="20" spans="5:8" x14ac:dyDescent="0.4">
      <c r="E20" s="138" t="s">
        <v>135</v>
      </c>
      <c r="F20" s="138"/>
      <c r="G20" s="138"/>
      <c r="H20" s="139">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pageSetUpPr fitToPage="1"/>
  </sheetPr>
  <dimension ref="A1:M35"/>
  <sheetViews>
    <sheetView zoomScaleNormal="100" workbookViewId="0">
      <selection activeCell="B2" sqref="B2"/>
    </sheetView>
  </sheetViews>
  <sheetFormatPr defaultRowHeight="14.6" x14ac:dyDescent="0.4"/>
  <cols>
    <col min="1" max="1" width="32.3046875" customWidth="1"/>
    <col min="2" max="2" width="12.53515625" customWidth="1"/>
    <col min="3" max="8" width="15.3046875" customWidth="1"/>
  </cols>
  <sheetData>
    <row r="1" spans="1:13" s="8" customFormat="1" x14ac:dyDescent="0.4">
      <c r="A1" s="10" t="s">
        <v>187</v>
      </c>
      <c r="B1"/>
      <c r="C1"/>
      <c r="D1"/>
      <c r="E1"/>
      <c r="F1"/>
      <c r="G1"/>
      <c r="H1"/>
    </row>
    <row r="2" spans="1:13" s="8" customFormat="1" x14ac:dyDescent="0.4">
      <c r="A2" s="85" t="s">
        <v>111</v>
      </c>
      <c r="B2" s="84">
        <v>45911</v>
      </c>
      <c r="C2"/>
      <c r="D2"/>
      <c r="E2"/>
      <c r="F2"/>
      <c r="G2"/>
      <c r="H2"/>
    </row>
    <row r="4" spans="1:13" x14ac:dyDescent="0.4">
      <c r="A4" s="10"/>
      <c r="D4" s="60"/>
      <c r="E4" s="60"/>
      <c r="F4" s="60"/>
      <c r="G4" s="60"/>
    </row>
    <row r="5" spans="1:13" ht="43.75" x14ac:dyDescent="0.4">
      <c r="A5" s="22" t="s">
        <v>86</v>
      </c>
      <c r="B5" s="59" t="s">
        <v>99</v>
      </c>
      <c r="C5" s="116" t="s">
        <v>587</v>
      </c>
      <c r="D5" s="26" t="s">
        <v>405</v>
      </c>
      <c r="E5" s="27" t="s">
        <v>406</v>
      </c>
      <c r="F5" s="230" t="s">
        <v>584</v>
      </c>
      <c r="G5" s="286" t="s">
        <v>595</v>
      </c>
      <c r="H5" s="117" t="s">
        <v>359</v>
      </c>
    </row>
    <row r="6" spans="1:13" x14ac:dyDescent="0.4">
      <c r="A6" t="s">
        <v>192</v>
      </c>
      <c r="B6" s="20">
        <f>SUMIF(Contributions!M:M,'Summary_for Web-1'!A6,Contributions!N:N)</f>
        <v>1168519.7720314125</v>
      </c>
      <c r="C6" s="238">
        <f>SUMIF(Contributions!A:A,'Summary_for Web-1'!A6,Contributions!C:C)+SUMIF(Contributions!E:E,'Summary_for Web-1'!A6,Contributions!G:G)+SUMIF(Contributions!I:I,'Summary_for Web-1'!A6,Contributions!K:K)+SUMIF(Contributions!M:M,'Summary_for Web-1'!A6,Contributions!O:O)</f>
        <v>18052948.495981622</v>
      </c>
      <c r="D6" s="236">
        <f>'Shared Building Allocation'!F5*1000000</f>
        <v>2276289.625</v>
      </c>
      <c r="E6" s="234">
        <f>'Shared Building Allocation'!K5*1000000</f>
        <v>2619344.7040000004</v>
      </c>
      <c r="F6" s="232">
        <f>'Shared Building Allocation'!P5*1000000</f>
        <v>2109671.35</v>
      </c>
      <c r="G6" s="288">
        <f>'Shared Building Allocation'!U5*1000000</f>
        <v>157157</v>
      </c>
      <c r="H6" s="119">
        <f>C6-D6-E6-F6-G6</f>
        <v>10890485.816981623</v>
      </c>
      <c r="J6" s="177"/>
      <c r="K6" s="177"/>
      <c r="L6" s="177"/>
      <c r="M6" s="177"/>
    </row>
    <row r="7" spans="1:13" x14ac:dyDescent="0.4">
      <c r="A7" t="s">
        <v>194</v>
      </c>
      <c r="B7" s="20">
        <f>SUMIF(Contributions!M:M,'Summary_for Web-1'!A7,Contributions!N:N)</f>
        <v>121417.21100126416</v>
      </c>
      <c r="C7" s="239">
        <f>SUMIF(Contributions!A:A,'Summary_for Web-1'!A7,Contributions!C:C)+SUMIF(Contributions!E:E,'Summary_for Web-1'!A7,Contributions!G:G)+SUMIF(Contributions!I:I,'Summary_for Web-1'!A7,Contributions!K:K)+SUMIF(Contributions!M:M,'Summary_for Web-1'!A7,Contributions!O:O)</f>
        <v>2048063.4197422713</v>
      </c>
      <c r="D7" s="237">
        <f>SUMIF('Project Status'!G:G,'Summary_for Web-1'!A7,'Project Status'!S:S)</f>
        <v>574290</v>
      </c>
      <c r="E7" s="235">
        <f>SUMIF('Project Status'!G:G,'Summary_for Web-1'!A7,'Project Status'!T:T)</f>
        <v>1916810</v>
      </c>
      <c r="F7" s="233">
        <f>SUMIF('Project Status'!G:G,'Summary_for Web-1'!A7,'Project Status'!U:U)</f>
        <v>1486000</v>
      </c>
      <c r="G7" s="289">
        <f>SUMIF('Project Status'!G:G,'Summary_for Web-1'!A7,'Project Status'!V:V)</f>
        <v>1716000</v>
      </c>
      <c r="H7" s="120">
        <f>C7-D7-E7-F7-G7</f>
        <v>-3645036.5802577287</v>
      </c>
      <c r="J7" s="177"/>
      <c r="K7" s="177"/>
      <c r="L7" s="177"/>
      <c r="M7" s="177"/>
    </row>
    <row r="8" spans="1:13" x14ac:dyDescent="0.4">
      <c r="A8" t="s">
        <v>425</v>
      </c>
      <c r="B8" s="20">
        <f>SUMIF(Contributions!M:M,'Summary_for Web-1'!A8,Contributions!N:N)</f>
        <v>42638.088851024644</v>
      </c>
      <c r="C8" s="239">
        <f>SUMIF(Contributions!A:A,'Summary_for Web-1'!A8,Contributions!C:C)+SUMIF(Contributions!E:E,'Summary_for Web-1'!A8,Contributions!G:G)+SUMIF(Contributions!I:I,'Summary_for Web-1'!A8,Contributions!K:K)+SUMIF(Contributions!M:M,'Summary_for Web-1'!A8,Contributions!O:O)</f>
        <v>193576.92338365188</v>
      </c>
      <c r="D8" s="237">
        <v>0</v>
      </c>
      <c r="E8" s="235">
        <v>0</v>
      </c>
      <c r="F8" s="233">
        <f>SUMIF('Project Status'!G:G,'Summary_for Web-1'!A8,'Project Status'!U:U)</f>
        <v>0</v>
      </c>
      <c r="G8" s="289">
        <f>SUMIF('Project Status'!G:G,'Summary_for Web-1'!A8,'Project Status'!V:V)</f>
        <v>0</v>
      </c>
      <c r="H8" s="120">
        <f t="shared" ref="H8:H15" si="0">C8-D8-E8-F8-G8</f>
        <v>193576.92338365188</v>
      </c>
      <c r="K8" s="177"/>
      <c r="L8" s="177"/>
      <c r="M8" s="177"/>
    </row>
    <row r="9" spans="1:13" x14ac:dyDescent="0.4">
      <c r="A9" t="s">
        <v>195</v>
      </c>
      <c r="B9" s="20">
        <f>SUMIF(Contributions!M:M,'Summary_for Web-1'!A9,Contributions!N:N)</f>
        <v>58286.961475850505</v>
      </c>
      <c r="C9" s="239">
        <f>SUMIF(Contributions!A:A,'Summary_for Web-1'!A9,Contributions!C:C)+SUMIF(Contributions!E:E,'Summary_for Web-1'!A9,Contributions!G:G)+SUMIF(Contributions!I:I,'Summary_for Web-1'!A9,Contributions!K:K)+SUMIF(Contributions!M:M,'Summary_for Web-1'!A9,Contributions!O:O)</f>
        <v>957401.80888624233</v>
      </c>
      <c r="D9" s="237">
        <f>SUMIF('Project Status'!G:G,'Summary_for Web-1'!A9,'Project Status'!S:S)</f>
        <v>96362.5</v>
      </c>
      <c r="E9" s="235">
        <f>SUMIF('Project Status'!G:G,'Summary_for Web-1'!A9,'Project Status'!T:T)</f>
        <v>3660360</v>
      </c>
      <c r="F9" s="233">
        <f>SUMIF('Project Status'!G:G,'Summary_for Web-1'!A9,'Project Status'!U:U)</f>
        <v>304500</v>
      </c>
      <c r="G9" s="289">
        <f>SUMIF('Project Status'!G:G,'Summary_for Web-1'!A9,'Project Status'!V:V)</f>
        <v>2369000</v>
      </c>
      <c r="H9" s="120">
        <f t="shared" si="0"/>
        <v>-5472820.6911137579</v>
      </c>
      <c r="J9" s="177"/>
      <c r="K9" s="177"/>
      <c r="L9" s="177"/>
      <c r="M9" s="177"/>
    </row>
    <row r="10" spans="1:13" x14ac:dyDescent="0.4">
      <c r="A10" t="s">
        <v>196</v>
      </c>
      <c r="B10" s="20">
        <f>SUMIF(Contributions!M:M,'Summary_for Web-1'!A10,Contributions!N:N)</f>
        <v>490439.88505166722</v>
      </c>
      <c r="C10" s="239">
        <f>SUMIF(Contributions!A:A,'Summary_for Web-1'!A10,Contributions!C:C)+SUMIF(Contributions!E:E,'Summary_for Web-1'!A10,Contributions!G:G)+SUMIF(Contributions!I:I,'Summary_for Web-1'!A10,Contributions!K:K)+SUMIF(Contributions!M:M,'Summary_for Web-1'!A10,Contributions!O:O)</f>
        <v>8742210.2723858841</v>
      </c>
      <c r="D10" s="237">
        <f>SUMIF('Project Status'!G:G,'Summary_for Web-1'!A10,'Project Status'!S:S)</f>
        <v>353000</v>
      </c>
      <c r="E10" s="235">
        <f>SUMIF('Project Status'!G:G,'Summary_for Web-1'!A10,'Project Status'!T:T)</f>
        <v>24933</v>
      </c>
      <c r="F10" s="233">
        <f>SUMIF('Project Status'!G:G,'Summary_for Web-1'!A10,'Project Status'!U:U)</f>
        <v>3324484.74</v>
      </c>
      <c r="G10" s="289">
        <f>SUMIF('Project Status'!G:G,'Summary_for Web-1'!A10,'Project Status'!V:V)</f>
        <v>0</v>
      </c>
      <c r="H10" s="120">
        <f t="shared" si="0"/>
        <v>5039792.5323858839</v>
      </c>
      <c r="K10" s="177"/>
      <c r="L10" s="177"/>
      <c r="M10" s="177"/>
    </row>
    <row r="11" spans="1:13" x14ac:dyDescent="0.4">
      <c r="A11" t="s">
        <v>197</v>
      </c>
      <c r="B11" s="20">
        <f>SUMIF(Contributions!M:M,'Summary_for Web-1'!A11,Contributions!N:N)</f>
        <v>119265.35530160108</v>
      </c>
      <c r="C11" s="239">
        <f>SUMIF(Contributions!A:A,'Summary_for Web-1'!A11,Contributions!C:C)+SUMIF(Contributions!E:E,'Summary_for Web-1'!A11,Contributions!G:G)+SUMIF(Contributions!I:I,'Summary_for Web-1'!A11,Contributions!K:K)+SUMIF(Contributions!M:M,'Summary_for Web-1'!A11,Contributions!O:O)</f>
        <v>1969283.776138538</v>
      </c>
      <c r="D11" s="237">
        <f>SUMIF('Project Status'!G:G,'Summary_for Web-1'!A11,'Project Status'!S:S)</f>
        <v>1206134.5</v>
      </c>
      <c r="E11" s="235">
        <f>SUMIF('Project Status'!G:G,'Summary_for Web-1'!A11,'Project Status'!T:T)</f>
        <v>661160</v>
      </c>
      <c r="F11" s="233">
        <f>SUMIF('Project Status'!G:G,'Summary_for Web-1'!A11,'Project Status'!U:U)</f>
        <v>284467.30000000005</v>
      </c>
      <c r="G11" s="289">
        <f>SUMIF('Project Status'!G:G,'Summary_for Web-1'!A11,'Project Status'!V:V)</f>
        <v>0</v>
      </c>
      <c r="H11" s="120">
        <f t="shared" si="0"/>
        <v>-182478.02386146202</v>
      </c>
      <c r="J11" s="177"/>
      <c r="K11" s="177"/>
      <c r="L11" s="177"/>
      <c r="M11" s="177"/>
    </row>
    <row r="12" spans="1:13" x14ac:dyDescent="0.4">
      <c r="A12" t="s">
        <v>198</v>
      </c>
      <c r="B12" s="20">
        <f>SUMIF(Contributions!M:M,'Summary_for Web-1'!A12,Contributions!N:N)</f>
        <v>105746.45000000003</v>
      </c>
      <c r="C12" s="239">
        <f>SUMIF(Contributions!A:A,'Summary_for Web-1'!A12,Contributions!C:C)+SUMIF(Contributions!E:E,'Summary_for Web-1'!A12,Contributions!G:G)+SUMIF(Contributions!I:I,'Summary_for Web-1'!A12,Contributions!K:K)+SUMIF(Contributions!M:M,'Summary_for Web-1'!A12,Contributions!O:O)</f>
        <v>1741672.2044000002</v>
      </c>
      <c r="D12" s="237">
        <f>SUMIF('Project Status'!G:G,'Summary_for Web-1'!A12,'Project Status'!S:S)</f>
        <v>4900</v>
      </c>
      <c r="E12" s="235">
        <f>SUMIF('Project Status'!G:G,'Summary_for Web-1'!A12,'Project Status'!T:T)</f>
        <v>286527</v>
      </c>
      <c r="F12" s="233">
        <f>SUMIF('Project Status'!G:G,'Summary_for Web-1'!A12,'Project Status'!U:U)</f>
        <v>45530</v>
      </c>
      <c r="G12" s="289">
        <f>SUMIF('Project Status'!G:G,'Summary_for Web-1'!A12,'Project Status'!V:V)</f>
        <v>0</v>
      </c>
      <c r="H12" s="120">
        <f t="shared" si="0"/>
        <v>1404715.2044000002</v>
      </c>
      <c r="J12" s="177"/>
      <c r="K12" s="177"/>
      <c r="L12" s="177"/>
      <c r="M12" s="177"/>
    </row>
    <row r="13" spans="1:13" x14ac:dyDescent="0.4">
      <c r="A13" t="s">
        <v>193</v>
      </c>
      <c r="B13" s="20">
        <f>SUMIF(Contributions!M:M,'Summary_for Web-1'!A13,Contributions!N:N)</f>
        <v>99610.067310203041</v>
      </c>
      <c r="C13" s="239">
        <f>SUMIF(Contributions!A:A,'Summary_for Web-1'!A13,Contributions!C:C)+SUMIF(Contributions!E:E,'Summary_for Web-1'!A13,Contributions!G:G)+SUMIF(Contributions!I:I,'Summary_for Web-1'!A13,Contributions!K:K)+SUMIF(Contributions!M:M,'Summary_for Web-1'!A13,Contributions!O:O)</f>
        <v>1499019.2091097203</v>
      </c>
      <c r="D13" s="237">
        <f>SUMIF('Project Status'!G:G,'Summary_for Web-1'!A13,'Project Status'!S:S)</f>
        <v>300000</v>
      </c>
      <c r="E13" s="235">
        <f>SUMIF('Project Status'!G:G,'Summary_for Web-1'!A13,'Project Status'!T:T)</f>
        <v>1576500</v>
      </c>
      <c r="F13" s="233">
        <f>SUMIF('Project Status'!G:G,'Summary_for Web-1'!A13,'Project Status'!U:U)</f>
        <v>1600000</v>
      </c>
      <c r="G13" s="289">
        <f>SUMIF('Project Status'!G:G,'Summary_for Web-1'!A13,'Project Status'!V:V)</f>
        <v>-222611.86</v>
      </c>
      <c r="H13" s="120">
        <f t="shared" si="0"/>
        <v>-1754868.9308902798</v>
      </c>
      <c r="K13" s="177"/>
      <c r="L13" s="177"/>
      <c r="M13" s="177"/>
    </row>
    <row r="14" spans="1:13" x14ac:dyDescent="0.4">
      <c r="A14" t="s">
        <v>200</v>
      </c>
      <c r="B14" s="20">
        <f>SUMIF(Contributions!M:M,'Summary_for Web-1'!A14,Contributions!N:N)</f>
        <v>381580.02507269708</v>
      </c>
      <c r="C14" s="239">
        <f>SUMIF(Contributions!A:A,'Summary_for Web-1'!A14,Contributions!C:C)+SUMIF(Contributions!E:E,'Summary_for Web-1'!A14,Contributions!G:G)+SUMIF(Contributions!I:I,'Summary_for Web-1'!A14,Contributions!K:K)+SUMIF(Contributions!M:M,'Summary_for Web-1'!A14,Contributions!O:O)</f>
        <v>6352482.4121643668</v>
      </c>
      <c r="D14" s="237">
        <f>SUMIF('Project Status'!G:G,'Summary_for Web-1'!A14,'Project Status'!S:S)</f>
        <v>2949437.76</v>
      </c>
      <c r="E14" s="235">
        <f>SUMIF('Project Status'!G:G,'Summary_for Web-1'!A14,'Project Status'!T:T)</f>
        <v>600347.91</v>
      </c>
      <c r="F14" s="233">
        <f>SUMIF('Project Status'!G:G,'Summary_for Web-1'!A14,'Project Status'!U:U)</f>
        <v>0</v>
      </c>
      <c r="G14" s="289">
        <f>SUMIF('Project Status'!G:G,'Summary_for Web-1'!A14,'Project Status'!V:V)</f>
        <v>0</v>
      </c>
      <c r="H14" s="120">
        <f t="shared" si="0"/>
        <v>2802696.7421643669</v>
      </c>
      <c r="K14" s="177"/>
      <c r="L14" s="177"/>
      <c r="M14" s="177"/>
    </row>
    <row r="15" spans="1:13" x14ac:dyDescent="0.4">
      <c r="A15" t="s">
        <v>199</v>
      </c>
      <c r="B15" s="20">
        <f>SUMIF(Contributions!M:M,'Summary_for Web-1'!A15,Contributions!N:N)</f>
        <v>334042.36306245415</v>
      </c>
      <c r="C15" s="239">
        <f>SUMIF(Contributions!A:A,'Summary_for Web-1'!A15,Contributions!C:C)+SUMIF(Contributions!E:E,'Summary_for Web-1'!A15,Contributions!G:G)+SUMIF(Contributions!I:I,'Summary_for Web-1'!A15,Contributions!K:K)+SUMIF(Contributions!M:M,'Summary_for Web-1'!A15,Contributions!O:O)</f>
        <v>4958227.8834510576</v>
      </c>
      <c r="D15" s="237">
        <f>'Shared Building Allocation'!F6*1000000</f>
        <v>1036871.8750000001</v>
      </c>
      <c r="E15" s="235">
        <f>'Shared Building Allocation'!K6*1000000</f>
        <v>-17509.674000000003</v>
      </c>
      <c r="F15" s="233">
        <f>'Shared Building Allocation'!P6*1000000</f>
        <v>1016425.05</v>
      </c>
      <c r="G15" s="289">
        <f>'Shared Building Allocation'!U6*1000000</f>
        <v>291863</v>
      </c>
      <c r="H15" s="120">
        <f t="shared" si="0"/>
        <v>2630577.6324510574</v>
      </c>
      <c r="J15" s="177"/>
      <c r="K15" s="177"/>
      <c r="L15" s="177"/>
      <c r="M15" s="177"/>
    </row>
    <row r="16" spans="1:13" x14ac:dyDescent="0.4">
      <c r="A16" s="23"/>
      <c r="B16" s="23">
        <f>SUM(B6:B15)</f>
        <v>2921546.1791581744</v>
      </c>
      <c r="C16" s="57">
        <f>SUM(C6:C15)</f>
        <v>46514886.405643359</v>
      </c>
      <c r="D16" s="56">
        <f t="shared" ref="D16:G16" si="1">SUM(D6:D15)</f>
        <v>8797286.2599999998</v>
      </c>
      <c r="E16" s="55">
        <f t="shared" si="1"/>
        <v>11328472.939999999</v>
      </c>
      <c r="F16" s="231">
        <f t="shared" si="1"/>
        <v>10171078.440000001</v>
      </c>
      <c r="G16" s="287">
        <f t="shared" si="1"/>
        <v>4311408.1400000006</v>
      </c>
      <c r="H16" s="118">
        <f>SUM(H6:H15)</f>
        <v>11906640.625643354</v>
      </c>
      <c r="J16" s="177"/>
      <c r="K16" s="177"/>
      <c r="L16" s="177"/>
      <c r="M16" s="177"/>
    </row>
    <row r="17" spans="1:9" x14ac:dyDescent="0.4">
      <c r="A17" s="25"/>
    </row>
    <row r="18" spans="1:9" x14ac:dyDescent="0.4">
      <c r="A18" s="19"/>
      <c r="B18" s="19"/>
      <c r="C18" s="173"/>
      <c r="D18" s="173"/>
      <c r="E18" s="173"/>
      <c r="F18" s="173"/>
      <c r="G18" s="173"/>
      <c r="H18" s="173"/>
      <c r="I18" s="173"/>
    </row>
    <row r="19" spans="1:9" x14ac:dyDescent="0.4">
      <c r="C19" s="34"/>
      <c r="D19" s="34"/>
      <c r="E19" s="34"/>
      <c r="F19" s="34"/>
      <c r="G19" s="34"/>
      <c r="H19" s="34"/>
    </row>
    <row r="20" spans="1:9" x14ac:dyDescent="0.4">
      <c r="D20" s="34"/>
      <c r="E20" s="34"/>
      <c r="F20" s="34"/>
      <c r="G20" s="34"/>
      <c r="H20" s="42"/>
    </row>
    <row r="26" spans="1:9" x14ac:dyDescent="0.4">
      <c r="D26" s="34"/>
      <c r="E26" s="34"/>
      <c r="F26" s="34"/>
      <c r="G26" s="34"/>
    </row>
    <row r="29" spans="1:9" x14ac:dyDescent="0.4">
      <c r="F29" s="34"/>
      <c r="G29" s="34"/>
    </row>
    <row r="31" spans="1:9" x14ac:dyDescent="0.4">
      <c r="F31" s="34"/>
      <c r="G31" s="34"/>
    </row>
    <row r="35" spans="6:7" x14ac:dyDescent="0.4">
      <c r="F35" s="34"/>
      <c r="G35" s="34"/>
    </row>
  </sheetData>
  <sortState xmlns:xlrd2="http://schemas.microsoft.com/office/spreadsheetml/2017/richdata2" ref="J7:J93">
    <sortCondition ref="J7:J93"/>
  </sortState>
  <pageMargins left="0.7" right="0.7" top="0.75" bottom="0.75" header="0.3" footer="0.3"/>
  <pageSetup scale="84" fitToHeight="0"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6.69140625" bestFit="1" customWidth="1"/>
    <col min="3" max="3" width="11" bestFit="1" customWidth="1"/>
    <col min="4" max="4" width="40.074218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Status'!C:K,8,FALSE)</f>
        <v>Complete</v>
      </c>
      <c r="G4" s="11" t="str">
        <f>VLOOKUP(A4,'Project Status'!C:L,9,FALSE)</f>
        <v>Finalized</v>
      </c>
      <c r="H4" s="39">
        <f>VLOOKUP(A4,'Project Status'!C:N,11,FALSE)</f>
        <v>781870</v>
      </c>
      <c r="I4" s="172">
        <f>VLOOKUP(A4,'Project Status'!C:O,13,FALSE)</f>
        <v>722586.68</v>
      </c>
    </row>
    <row r="8" spans="1:11" x14ac:dyDescent="0.4">
      <c r="E8" s="40" t="s">
        <v>123</v>
      </c>
    </row>
    <row r="9" spans="1:11" x14ac:dyDescent="0.4">
      <c r="E9" s="21" t="s">
        <v>165</v>
      </c>
      <c r="F9" s="32" t="s">
        <v>138</v>
      </c>
      <c r="H9" s="97">
        <v>17050</v>
      </c>
    </row>
    <row r="10" spans="1:11" x14ac:dyDescent="0.4">
      <c r="E10" s="21" t="s">
        <v>223</v>
      </c>
      <c r="F10" t="s">
        <v>211</v>
      </c>
      <c r="H10" s="42">
        <v>764820</v>
      </c>
    </row>
    <row r="11" spans="1:11" x14ac:dyDescent="0.4">
      <c r="E11" s="21" t="s">
        <v>360</v>
      </c>
      <c r="F11" t="s">
        <v>370</v>
      </c>
      <c r="H11" s="42">
        <v>-59283.32</v>
      </c>
    </row>
    <row r="18" spans="5:8" x14ac:dyDescent="0.4">
      <c r="E18" s="135" t="s">
        <v>260</v>
      </c>
      <c r="F18" s="136"/>
      <c r="G18" s="135"/>
      <c r="H18" s="137">
        <f>SUM(H9:H17)</f>
        <v>722586.68</v>
      </c>
    </row>
    <row r="20" spans="5:8" x14ac:dyDescent="0.4">
      <c r="E20" s="138" t="s">
        <v>135</v>
      </c>
      <c r="F20" s="138"/>
      <c r="G20" s="138"/>
      <c r="H20" s="139">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046875" bestFit="1" customWidth="1"/>
    <col min="7" max="7" width="11.3046875" bestFit="1" customWidth="1"/>
    <col min="8" max="8" width="16.53515625" bestFit="1" customWidth="1"/>
    <col min="9" max="9" width="1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Status'!C:K,8,FALSE)</f>
        <v>Complete</v>
      </c>
      <c r="G4" s="11" t="str">
        <f>VLOOKUP(A4,'Project Status'!C:L,9,FALSE)</f>
        <v>Finalized</v>
      </c>
      <c r="H4" s="39">
        <f>VLOOKUP(A4,'Project Status'!C:N,11,FALSE)</f>
        <v>1232681</v>
      </c>
      <c r="I4" s="172">
        <f>VLOOKUP(A4,'Project Status'!C:O,13,FALSE)</f>
        <v>1113460</v>
      </c>
    </row>
    <row r="8" spans="1:11" x14ac:dyDescent="0.4">
      <c r="E8" s="40" t="s">
        <v>123</v>
      </c>
    </row>
    <row r="9" spans="1:11" x14ac:dyDescent="0.4">
      <c r="E9" t="s">
        <v>234</v>
      </c>
      <c r="F9" s="32" t="s">
        <v>138</v>
      </c>
      <c r="H9" s="41">
        <v>1232681</v>
      </c>
    </row>
    <row r="10" spans="1:11" x14ac:dyDescent="0.4">
      <c r="E10" s="21" t="s">
        <v>375</v>
      </c>
      <c r="F10" t="s">
        <v>296</v>
      </c>
      <c r="H10" s="41">
        <v>-119221</v>
      </c>
    </row>
    <row r="13" spans="1:11" x14ac:dyDescent="0.4">
      <c r="F13" s="10"/>
      <c r="G13" s="10"/>
      <c r="H13" s="44"/>
    </row>
    <row r="18" spans="5:8" x14ac:dyDescent="0.4">
      <c r="E18" s="135" t="s">
        <v>260</v>
      </c>
      <c r="F18" s="136"/>
      <c r="G18" s="135"/>
      <c r="H18" s="137">
        <f>SUM(H9:H17)</f>
        <v>1113460</v>
      </c>
    </row>
    <row r="20" spans="5:8" x14ac:dyDescent="0.4">
      <c r="E20" s="138" t="s">
        <v>135</v>
      </c>
      <c r="F20" s="138"/>
      <c r="G20" s="138"/>
      <c r="H20" s="139">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Status'!C:K,8,FALSE)</f>
        <v>Complete</v>
      </c>
      <c r="G4" s="11" t="str">
        <f>VLOOKUP(A4,'Project Status'!C:L,9,FALSE)</f>
        <v>Finalized</v>
      </c>
      <c r="H4" s="39">
        <f>VLOOKUP(A4,'Project Status'!C:N,11,FALSE)</f>
        <v>218202</v>
      </c>
      <c r="I4" s="172">
        <f>VLOOKUP(A4,'Project Status'!C:O,13,FALSE)</f>
        <v>195665</v>
      </c>
    </row>
    <row r="8" spans="1:11" x14ac:dyDescent="0.4">
      <c r="E8" s="40" t="s">
        <v>123</v>
      </c>
    </row>
    <row r="9" spans="1:11" x14ac:dyDescent="0.4">
      <c r="E9" s="21" t="s">
        <v>212</v>
      </c>
      <c r="F9" s="32" t="s">
        <v>138</v>
      </c>
      <c r="H9" s="41">
        <v>218202</v>
      </c>
    </row>
    <row r="10" spans="1:11" x14ac:dyDescent="0.4">
      <c r="E10" s="21" t="s">
        <v>375</v>
      </c>
      <c r="F10" t="s">
        <v>296</v>
      </c>
      <c r="H10" s="41">
        <v>-22537</v>
      </c>
    </row>
    <row r="18" spans="5:8" x14ac:dyDescent="0.4">
      <c r="E18" s="135" t="s">
        <v>260</v>
      </c>
      <c r="F18" s="136"/>
      <c r="G18" s="135"/>
      <c r="H18" s="137">
        <f>SUM(H9:H17)</f>
        <v>195665</v>
      </c>
    </row>
    <row r="20" spans="5:8" x14ac:dyDescent="0.4">
      <c r="E20" s="138" t="s">
        <v>135</v>
      </c>
      <c r="F20" s="138"/>
      <c r="G20" s="138"/>
      <c r="H20" s="139">
        <f>I4-H18</f>
        <v>0</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27.84375" bestFit="1" customWidth="1"/>
    <col min="5" max="5" width="51.69140625" bestFit="1" customWidth="1"/>
    <col min="6" max="6" width="11.69140625" bestFit="1" customWidth="1"/>
    <col min="7" max="7" width="10.3046875" bestFit="1" customWidth="1"/>
    <col min="8" max="9" width="16.30468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 Phase 1 - FY25</v>
      </c>
      <c r="F4" s="11" t="str">
        <f>VLOOKUP(A4,'Project Status'!C:K,9,FALSE)</f>
        <v>Construction</v>
      </c>
      <c r="G4" s="11" t="str">
        <f>VLOOKUP(A4,'Project Status'!C:L,10,FALSE)</f>
        <v>Jay Surprenant</v>
      </c>
      <c r="H4" s="88">
        <f>VLOOKUP(A4,'Project Status'!C:N,12,FALSE)</f>
        <v>1300000</v>
      </c>
      <c r="I4" s="172">
        <f>VLOOKUP(A4,'Project Status'!C:Q,15,FALSE)</f>
        <v>1062479.21</v>
      </c>
    </row>
    <row r="8" spans="1:11" x14ac:dyDescent="0.4">
      <c r="E8" s="40" t="s">
        <v>123</v>
      </c>
    </row>
    <row r="9" spans="1:11" x14ac:dyDescent="0.4">
      <c r="E9" s="21" t="s">
        <v>165</v>
      </c>
      <c r="F9" s="32" t="s">
        <v>138</v>
      </c>
      <c r="H9" s="41">
        <v>53750</v>
      </c>
    </row>
    <row r="10" spans="1:11" x14ac:dyDescent="0.4">
      <c r="E10" s="21" t="s">
        <v>228</v>
      </c>
      <c r="F10" t="s">
        <v>211</v>
      </c>
      <c r="H10" s="42">
        <v>169250</v>
      </c>
    </row>
    <row r="11" spans="1:11" x14ac:dyDescent="0.4">
      <c r="E11" s="21" t="s">
        <v>429</v>
      </c>
      <c r="F11" t="s">
        <v>316</v>
      </c>
      <c r="H11" s="42">
        <v>1077000</v>
      </c>
    </row>
    <row r="18" spans="5:8" x14ac:dyDescent="0.4">
      <c r="E18" s="135" t="s">
        <v>260</v>
      </c>
      <c r="F18" s="136"/>
      <c r="G18" s="135"/>
      <c r="H18" s="137">
        <f>SUM(H9:H17)</f>
        <v>1300000</v>
      </c>
    </row>
    <row r="20" spans="5:8" x14ac:dyDescent="0.4">
      <c r="E20" s="138" t="s">
        <v>135</v>
      </c>
      <c r="F20" s="138"/>
      <c r="G20" s="138"/>
      <c r="H20" s="139">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Status'!C:K,8,FALSE)</f>
        <v>Complete</v>
      </c>
      <c r="G4" s="11" t="str">
        <f>VLOOKUP(A4,'Project Status'!C:L,9,FALSE)</f>
        <v>Finalized</v>
      </c>
      <c r="H4" s="88">
        <f>VLOOKUP(A4,'Project Status'!C:N,11,FALSE)</f>
        <v>630554</v>
      </c>
      <c r="I4" s="172">
        <f>VLOOKUP(A4,'Project Status'!C:O,13,FALSE)</f>
        <v>571789</v>
      </c>
    </row>
    <row r="8" spans="1:11" x14ac:dyDescent="0.4">
      <c r="E8" s="40" t="s">
        <v>123</v>
      </c>
    </row>
    <row r="9" spans="1:11" x14ac:dyDescent="0.4">
      <c r="E9" s="21" t="s">
        <v>223</v>
      </c>
      <c r="F9" s="32" t="s">
        <v>138</v>
      </c>
      <c r="H9" s="97">
        <v>2050</v>
      </c>
    </row>
    <row r="10" spans="1:11" x14ac:dyDescent="0.4">
      <c r="E10" s="21" t="s">
        <v>245</v>
      </c>
      <c r="F10" t="s">
        <v>211</v>
      </c>
      <c r="H10" s="41">
        <v>628504</v>
      </c>
    </row>
    <row r="11" spans="1:11" x14ac:dyDescent="0.4">
      <c r="E11" s="21" t="s">
        <v>375</v>
      </c>
      <c r="F11" t="s">
        <v>296</v>
      </c>
      <c r="H11" s="41">
        <v>-58765</v>
      </c>
    </row>
    <row r="18" spans="5:8" x14ac:dyDescent="0.4">
      <c r="E18" s="135" t="s">
        <v>260</v>
      </c>
      <c r="F18" s="136"/>
      <c r="G18" s="135"/>
      <c r="H18" s="137">
        <f>SUM(H9:H17)</f>
        <v>571789</v>
      </c>
    </row>
    <row r="20" spans="5:8" x14ac:dyDescent="0.4">
      <c r="E20" s="138" t="s">
        <v>135</v>
      </c>
      <c r="F20" s="138"/>
      <c r="G20" s="138"/>
      <c r="H20" s="139">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Status'!C:K,8,FALSE)</f>
        <v>Complete</v>
      </c>
      <c r="G4" s="11" t="str">
        <f>VLOOKUP(A4,'Project Status'!C:L,9,FALSE)</f>
        <v>Finalized</v>
      </c>
      <c r="H4" s="39">
        <f>VLOOKUP(A4,'Project Status'!C:N,11,FALSE)</f>
        <v>125875</v>
      </c>
      <c r="I4" s="172">
        <f>VLOOKUP(A4,'Project Status'!C:O,13,FALSE)</f>
        <v>114350</v>
      </c>
    </row>
    <row r="8" spans="1:11" x14ac:dyDescent="0.4">
      <c r="E8" s="40" t="s">
        <v>123</v>
      </c>
    </row>
    <row r="9" spans="1:11" x14ac:dyDescent="0.4">
      <c r="E9" t="s">
        <v>271</v>
      </c>
      <c r="F9" s="32" t="s">
        <v>138</v>
      </c>
      <c r="H9" s="41">
        <v>125875</v>
      </c>
    </row>
    <row r="10" spans="1:11" x14ac:dyDescent="0.4">
      <c r="E10" t="s">
        <v>383</v>
      </c>
      <c r="F10" t="s">
        <v>296</v>
      </c>
      <c r="H10" s="41">
        <v>-11525</v>
      </c>
    </row>
    <row r="13" spans="1:11" x14ac:dyDescent="0.4">
      <c r="F13" s="10"/>
      <c r="G13" s="10"/>
      <c r="H13" s="44"/>
    </row>
    <row r="18" spans="5:8" x14ac:dyDescent="0.4">
      <c r="E18" s="135" t="s">
        <v>260</v>
      </c>
      <c r="F18" s="136"/>
      <c r="G18" s="135"/>
      <c r="H18" s="137">
        <f>SUM(H9:H17)</f>
        <v>114350</v>
      </c>
    </row>
    <row r="20" spans="5:8" x14ac:dyDescent="0.4">
      <c r="E20" s="138" t="s">
        <v>135</v>
      </c>
      <c r="F20" s="138"/>
      <c r="G20" s="138"/>
      <c r="H20" s="139">
        <f>I4-H18</f>
        <v>0</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1"/>
  <sheetViews>
    <sheetView topLeftCell="A2"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48.07421875" bestFit="1" customWidth="1"/>
    <col min="6" max="6" width="6.3046875" bestFit="1" customWidth="1"/>
    <col min="7" max="7" width="11.3046875" bestFit="1" customWidth="1"/>
    <col min="8" max="9" width="16" customWidth="1"/>
    <col min="11" max="11" width="15.69140625" bestFit="1" customWidth="1"/>
  </cols>
  <sheetData>
    <row r="1" spans="1:11" x14ac:dyDescent="0.4">
      <c r="K1" s="140" t="s">
        <v>264</v>
      </c>
    </row>
    <row r="2" spans="1:11" x14ac:dyDescent="0.4">
      <c r="K2" s="140" t="s">
        <v>264</v>
      </c>
    </row>
    <row r="3" spans="1:11" x14ac:dyDescent="0.4">
      <c r="K3" s="140"/>
    </row>
    <row r="4" spans="1:11" x14ac:dyDescent="0.4">
      <c r="A4" s="36" t="s">
        <v>124</v>
      </c>
      <c r="B4" s="35" t="s">
        <v>125</v>
      </c>
      <c r="C4" s="36" t="s">
        <v>126</v>
      </c>
      <c r="D4" s="37" t="s">
        <v>86</v>
      </c>
      <c r="E4" s="37" t="s">
        <v>87</v>
      </c>
      <c r="F4" s="36" t="s">
        <v>127</v>
      </c>
      <c r="G4" s="36" t="s">
        <v>128</v>
      </c>
      <c r="H4" s="38" t="s">
        <v>129</v>
      </c>
      <c r="I4" s="171" t="s">
        <v>294</v>
      </c>
    </row>
    <row r="5" spans="1:11" x14ac:dyDescent="0.4">
      <c r="A5" s="11">
        <v>20667</v>
      </c>
      <c r="B5" s="11">
        <f>VLOOKUP(A5,'Project Status'!C:D,2,FALSE)</f>
        <v>8168</v>
      </c>
      <c r="C5" s="11" t="str">
        <f>VLOOKUP(A5,'Project Status'!C:E,3,FALSE)</f>
        <v>CP_400160</v>
      </c>
      <c r="D5" s="11" t="str">
        <f>VLOOKUP(A5,'Project Status'!C:F,4,FALSE)</f>
        <v>15000 - Engineering: Office of the Dean</v>
      </c>
      <c r="E5" s="11" t="str">
        <f>VLOOKUP(A5,'Project Status'!C:I,7,FALSE)</f>
        <v>1025 16th Avenue - Mechanical and Electrical Upgrades</v>
      </c>
      <c r="F5" s="11" t="str">
        <f>VLOOKUP(A5,'Project Status'!C:K,9,FALSE)</f>
        <v>Construction</v>
      </c>
      <c r="G5" s="11" t="str">
        <f>VLOOKUP(A5,'Project Status'!C:L,10,FALSE)</f>
        <v>Kylie Mignoli</v>
      </c>
      <c r="H5" s="88">
        <f>VLOOKUP(A5,'Project Status'!C:N,12,FALSE)</f>
        <v>1545360</v>
      </c>
      <c r="I5" s="172">
        <f>VLOOKUP(A5,'Project Status'!C:Q,15,FALSE)</f>
        <v>651584.78</v>
      </c>
    </row>
    <row r="9" spans="1:11" x14ac:dyDescent="0.4">
      <c r="E9" s="40" t="s">
        <v>123</v>
      </c>
    </row>
    <row r="10" spans="1:11" x14ac:dyDescent="0.4">
      <c r="E10" s="21" t="s">
        <v>173</v>
      </c>
      <c r="F10" s="32" t="s">
        <v>138</v>
      </c>
      <c r="H10" s="41">
        <v>135000</v>
      </c>
    </row>
    <row r="11" spans="1:11" x14ac:dyDescent="0.4">
      <c r="E11" s="21" t="s">
        <v>228</v>
      </c>
      <c r="F11" t="s">
        <v>145</v>
      </c>
      <c r="H11" s="42">
        <v>11500</v>
      </c>
    </row>
    <row r="12" spans="1:11" x14ac:dyDescent="0.4">
      <c r="E12" s="21" t="s">
        <v>442</v>
      </c>
      <c r="F12" t="s">
        <v>316</v>
      </c>
      <c r="H12" s="41">
        <v>1398860</v>
      </c>
    </row>
    <row r="19" spans="5:8" x14ac:dyDescent="0.4">
      <c r="E19" s="135" t="s">
        <v>260</v>
      </c>
      <c r="F19" s="136"/>
      <c r="G19" s="135"/>
      <c r="H19" s="137">
        <f>SUM(H10:H18)</f>
        <v>1545360</v>
      </c>
    </row>
    <row r="21" spans="5:8" x14ac:dyDescent="0.4">
      <c r="E21" s="138" t="s">
        <v>135</v>
      </c>
      <c r="F21" s="138"/>
      <c r="G21" s="138"/>
      <c r="H21" s="139">
        <f>H5-H19</f>
        <v>0</v>
      </c>
    </row>
  </sheetData>
  <hyperlinks>
    <hyperlink ref="K1" location="'Project Status'!A1" display="'Project Status'!A1" xr:uid="{F348F888-B7DA-42CA-B30E-EA2EAF1EAB04}"/>
    <hyperlink ref="K2" location="'Project Status'!A1" display="'Project Status'!A1" xr:uid="{348844E9-6A4E-403B-AEF5-C55422D77193}"/>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27.84375" bestFit="1" customWidth="1"/>
    <col min="6" max="6" width="6.53515625" bestFit="1" customWidth="1"/>
    <col min="7" max="7" width="11.3046875" bestFit="1" customWidth="1"/>
    <col min="8" max="9" width="16.843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Status'!C:K,9,FALSE)</f>
        <v>Design</v>
      </c>
      <c r="G4" s="11" t="str">
        <f>VLOOKUP(A4,'Project Status'!C:L,10,FALSE)</f>
        <v>Sean Rewers</v>
      </c>
      <c r="H4" s="88">
        <f>VLOOKUP(A4,'Project Status'!C:N,12,FALSE)</f>
        <v>231433</v>
      </c>
      <c r="I4" s="172">
        <f>VLOOKUP(A4,'Project Status'!C:Q,15,FALSE)</f>
        <v>116143</v>
      </c>
    </row>
    <row r="8" spans="1:11" x14ac:dyDescent="0.4">
      <c r="E8" s="40" t="s">
        <v>123</v>
      </c>
    </row>
    <row r="9" spans="1:11" x14ac:dyDescent="0.4">
      <c r="E9" s="21" t="s">
        <v>212</v>
      </c>
      <c r="F9" s="32" t="s">
        <v>138</v>
      </c>
      <c r="H9" s="41">
        <v>195000</v>
      </c>
    </row>
    <row r="10" spans="1:11" x14ac:dyDescent="0.4">
      <c r="E10" s="21" t="s">
        <v>228</v>
      </c>
      <c r="F10" t="s">
        <v>145</v>
      </c>
      <c r="H10" s="41">
        <v>11500</v>
      </c>
    </row>
    <row r="11" spans="1:11" x14ac:dyDescent="0.4">
      <c r="E11" s="21" t="s">
        <v>328</v>
      </c>
      <c r="F11" t="s">
        <v>316</v>
      </c>
      <c r="H11" s="41">
        <v>24933</v>
      </c>
    </row>
    <row r="12" spans="1:11" x14ac:dyDescent="0.4">
      <c r="H12" s="41"/>
    </row>
    <row r="13" spans="1:11" x14ac:dyDescent="0.4">
      <c r="H13" s="41"/>
    </row>
    <row r="14" spans="1:11" x14ac:dyDescent="0.4">
      <c r="H14" s="41"/>
    </row>
    <row r="15" spans="1:11" x14ac:dyDescent="0.4">
      <c r="H15" s="41"/>
    </row>
    <row r="16" spans="1:11" x14ac:dyDescent="0.4">
      <c r="H16" s="41"/>
    </row>
    <row r="17" spans="5:8" x14ac:dyDescent="0.4">
      <c r="H17" s="41"/>
    </row>
    <row r="18" spans="5:8" x14ac:dyDescent="0.4">
      <c r="E18" s="135" t="s">
        <v>260</v>
      </c>
      <c r="F18" s="136"/>
      <c r="G18" s="135"/>
      <c r="H18" s="137">
        <f>SUM(H9:H17)</f>
        <v>231433</v>
      </c>
    </row>
    <row r="20" spans="5:8" x14ac:dyDescent="0.4">
      <c r="E20" s="138" t="s">
        <v>135</v>
      </c>
      <c r="F20" s="138"/>
      <c r="G20" s="138"/>
      <c r="H20" s="139">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rgb="FFFF66CC"/>
  </sheetPr>
  <dimension ref="A1:K20"/>
  <sheetViews>
    <sheetView zoomScale="90" zoomScaleNormal="90" workbookViewId="0">
      <selection activeCell="K1" sqref="K1"/>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2.53515625" bestFit="1" customWidth="1"/>
    <col min="6" max="6" width="16.53515625" bestFit="1" customWidth="1"/>
    <col min="7" max="7" width="11.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Status'!C:K,9,FALSE)</f>
        <v>Finalized</v>
      </c>
      <c r="G4" s="11" t="str">
        <f>VLOOKUP(A4,'Project Status'!C:L,10,FALSE)</f>
        <v>Sean Rewers</v>
      </c>
      <c r="H4" s="88">
        <f>VLOOKUP(A4,'Project Status'!C:N,12,FALSE)</f>
        <v>678513</v>
      </c>
      <c r="I4" s="172">
        <f>VLOOKUP(A4,'Project Status'!C:Q,15,FALSE)</f>
        <v>586776.36</v>
      </c>
    </row>
    <row r="8" spans="1:11" x14ac:dyDescent="0.4">
      <c r="E8" s="40" t="s">
        <v>123</v>
      </c>
    </row>
    <row r="9" spans="1:11" x14ac:dyDescent="0.4">
      <c r="E9" s="21" t="s">
        <v>212</v>
      </c>
      <c r="F9" s="32" t="s">
        <v>138</v>
      </c>
      <c r="H9" s="41">
        <v>24500</v>
      </c>
    </row>
    <row r="10" spans="1:11" x14ac:dyDescent="0.4">
      <c r="E10" s="21" t="s">
        <v>212</v>
      </c>
      <c r="F10" t="s">
        <v>211</v>
      </c>
      <c r="H10" s="41">
        <v>450</v>
      </c>
    </row>
    <row r="11" spans="1:11" x14ac:dyDescent="0.4">
      <c r="E11" s="21" t="s">
        <v>271</v>
      </c>
      <c r="F11" t="s">
        <v>145</v>
      </c>
      <c r="H11" s="41">
        <v>4300</v>
      </c>
    </row>
    <row r="12" spans="1:11" x14ac:dyDescent="0.4">
      <c r="E12" s="21" t="s">
        <v>344</v>
      </c>
      <c r="F12" t="s">
        <v>316</v>
      </c>
      <c r="G12" t="s">
        <v>343</v>
      </c>
      <c r="H12" s="41">
        <v>649263</v>
      </c>
    </row>
    <row r="18" spans="5:8" x14ac:dyDescent="0.4">
      <c r="E18" s="135" t="s">
        <v>260</v>
      </c>
      <c r="F18" s="136"/>
      <c r="G18" s="135"/>
      <c r="H18" s="137">
        <f>SUM(H9:H17)</f>
        <v>678513</v>
      </c>
    </row>
    <row r="20" spans="5:8" x14ac:dyDescent="0.4">
      <c r="E20" s="138" t="s">
        <v>135</v>
      </c>
      <c r="F20" s="138"/>
      <c r="G20" s="138"/>
      <c r="H20" s="139">
        <f>I4-H18</f>
        <v>-91736.640000000014</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07421875" bestFit="1" customWidth="1"/>
    <col min="5" max="5" width="64.3046875" bestFit="1" customWidth="1"/>
    <col min="6" max="6" width="17.53515625" bestFit="1" customWidth="1"/>
    <col min="7" max="7" width="12.3046875" bestFit="1" customWidth="1"/>
    <col min="8" max="8" width="16.53515625" bestFit="1" customWidth="1"/>
    <col min="9" max="9" width="12.07421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Status'!C:K,8,FALSE)</f>
        <v>Complete</v>
      </c>
      <c r="G4" s="11" t="str">
        <f>VLOOKUP(A4,'Project Status'!C:L,9,FALSE)</f>
        <v>Finalized</v>
      </c>
      <c r="H4" s="88">
        <f>VLOOKUP(A4,'Project Status'!C:N,11,FALSE)</f>
        <v>80000</v>
      </c>
      <c r="I4" s="172">
        <f>VLOOKUP(A4,'Project Status'!C:O,13,FALSE)</f>
        <v>85576.77</v>
      </c>
    </row>
    <row r="8" spans="1:11" x14ac:dyDescent="0.4">
      <c r="E8" s="40" t="s">
        <v>123</v>
      </c>
    </row>
    <row r="9" spans="1:11" x14ac:dyDescent="0.4">
      <c r="E9" s="21" t="s">
        <v>223</v>
      </c>
      <c r="F9" s="32" t="s">
        <v>138</v>
      </c>
      <c r="H9" s="97">
        <v>2500</v>
      </c>
    </row>
    <row r="10" spans="1:11" x14ac:dyDescent="0.4">
      <c r="E10" s="21" t="s">
        <v>245</v>
      </c>
      <c r="F10" t="s">
        <v>138</v>
      </c>
      <c r="H10" s="41">
        <v>77123</v>
      </c>
    </row>
    <row r="11" spans="1:11" x14ac:dyDescent="0.4">
      <c r="E11" s="21" t="s">
        <v>317</v>
      </c>
      <c r="F11" t="s">
        <v>172</v>
      </c>
      <c r="H11" s="41">
        <v>5954</v>
      </c>
    </row>
    <row r="18" spans="5:8" x14ac:dyDescent="0.4">
      <c r="E18" s="135" t="s">
        <v>260</v>
      </c>
      <c r="F18" s="136"/>
      <c r="G18" s="135"/>
      <c r="H18" s="137">
        <f>SUM(H9:H17)</f>
        <v>85577</v>
      </c>
    </row>
    <row r="20" spans="5:8" x14ac:dyDescent="0.4">
      <c r="E20" s="138" t="s">
        <v>135</v>
      </c>
      <c r="F20" s="138"/>
      <c r="G20" s="138"/>
      <c r="H20" s="139">
        <f>I4-H18</f>
        <v>-0.22999999999592546</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L94"/>
  <sheetViews>
    <sheetView zoomScaleNormal="100" workbookViewId="0">
      <pane ySplit="5" topLeftCell="A82" activePane="bottomLeft" state="frozen"/>
      <selection activeCell="G25" sqref="G25"/>
      <selection pane="bottomLeft" activeCell="C2" sqref="C2"/>
    </sheetView>
  </sheetViews>
  <sheetFormatPr defaultRowHeight="14.6" x14ac:dyDescent="0.4"/>
  <cols>
    <col min="1" max="1" width="3.3046875" bestFit="1" customWidth="1"/>
    <col min="2" max="2" width="18.53515625" customWidth="1"/>
    <col min="3" max="3" width="9.69140625" customWidth="1"/>
    <col min="4" max="4" width="17.07421875" bestFit="1" customWidth="1"/>
    <col min="5" max="5" width="67.3046875" bestFit="1" customWidth="1"/>
    <col min="6" max="10" width="12.69140625" style="41" customWidth="1"/>
  </cols>
  <sheetData>
    <row r="1" spans="1:10" s="8" customFormat="1" x14ac:dyDescent="0.4">
      <c r="B1" s="10" t="s">
        <v>188</v>
      </c>
      <c r="D1" s="10"/>
      <c r="F1" s="61"/>
      <c r="G1" s="61"/>
      <c r="H1" s="61"/>
      <c r="I1" s="61"/>
      <c r="J1" s="61"/>
    </row>
    <row r="2" spans="1:10" s="8" customFormat="1" x14ac:dyDescent="0.4">
      <c r="B2" s="83" t="s">
        <v>111</v>
      </c>
      <c r="C2" s="84">
        <f>'Summary_for Web-1'!B2</f>
        <v>45911</v>
      </c>
      <c r="D2" s="32"/>
      <c r="F2" s="61"/>
      <c r="G2" s="61"/>
      <c r="H2" s="61"/>
      <c r="I2" s="61"/>
      <c r="J2" s="61"/>
    </row>
    <row r="4" spans="1:10" ht="16.3" x14ac:dyDescent="0.4">
      <c r="B4" s="10" t="s">
        <v>112</v>
      </c>
      <c r="C4" s="10"/>
      <c r="D4" s="10"/>
      <c r="F4" s="240" t="s">
        <v>168</v>
      </c>
      <c r="G4" s="240" t="s">
        <v>169</v>
      </c>
      <c r="H4" s="240" t="s">
        <v>169</v>
      </c>
      <c r="I4" s="240" t="s">
        <v>169</v>
      </c>
      <c r="J4" s="240" t="s">
        <v>169</v>
      </c>
    </row>
    <row r="5" spans="1:10" ht="29.15" x14ac:dyDescent="0.4">
      <c r="B5" s="58" t="s">
        <v>166</v>
      </c>
      <c r="C5" s="59" t="s">
        <v>594</v>
      </c>
      <c r="D5" s="58" t="s">
        <v>86</v>
      </c>
      <c r="E5" s="22" t="s">
        <v>167</v>
      </c>
      <c r="F5" s="113" t="s">
        <v>222</v>
      </c>
      <c r="G5" s="62" t="s">
        <v>321</v>
      </c>
      <c r="H5" s="63" t="s">
        <v>407</v>
      </c>
      <c r="I5" s="246" t="s">
        <v>408</v>
      </c>
      <c r="J5" s="282" t="s">
        <v>593</v>
      </c>
    </row>
    <row r="6" spans="1:10" x14ac:dyDescent="0.4">
      <c r="A6" s="95">
        <v>1</v>
      </c>
      <c r="B6" t="str">
        <f>VLOOKUP(C6,'Project Status'!C:K,8,FALSE)</f>
        <v>Complete</v>
      </c>
      <c r="C6" s="54">
        <v>10085</v>
      </c>
      <c r="D6" s="25" t="str">
        <f>VLOOKUP(C6,'Project Status'!C:G,5,FALSE)</f>
        <v>Peabody</v>
      </c>
      <c r="E6" t="str">
        <f>VLOOKUP(C6,'Project Status'!C:I,7,FALSE)</f>
        <v>One Magnolia Circle - Modify/Upgrade Electrical and Grounding</v>
      </c>
      <c r="F6" s="114">
        <f>VLOOKUP(C6,'Project Status'!C:M,11,FALSE)</f>
        <v>17500</v>
      </c>
      <c r="G6" s="242">
        <f>VLOOKUP(C6,'Project Status'!C:S,17,FALSE)</f>
        <v>17500</v>
      </c>
      <c r="H6" s="241">
        <f>VLOOKUP(C6,'Project Status'!C:T,18,FALSE)</f>
        <v>0</v>
      </c>
      <c r="I6" s="248">
        <f>VLOOKUP(C6,'Project Status'!C:U,19,FALSE)</f>
        <v>0</v>
      </c>
      <c r="J6" s="285">
        <f>VLOOKUP(C6,'Project Status'!C:X,20,FALSE)</f>
        <v>0</v>
      </c>
    </row>
    <row r="7" spans="1:10" x14ac:dyDescent="0.4">
      <c r="A7" s="95">
        <f>A6+1</f>
        <v>2</v>
      </c>
      <c r="B7" t="str">
        <f>VLOOKUP(C7,'Project Status'!C:K,8,FALSE)</f>
        <v>Complete</v>
      </c>
      <c r="C7" s="54">
        <v>10098</v>
      </c>
      <c r="D7" s="25" t="str">
        <f>VLOOKUP(C7,'Project Status'!C:G,5,FALSE)</f>
        <v>SOM Basic Sciences</v>
      </c>
      <c r="E7" t="str">
        <f>VLOOKUP(C7,'Project Status'!C:I,7,FALSE)</f>
        <v>MRB III - 4th Floor - Replace Controls (Phase 2)</v>
      </c>
      <c r="F7" s="243">
        <f>VLOOKUP(C7,'Project Status'!C:M,11,FALSE)</f>
        <v>1216485.5</v>
      </c>
      <c r="G7" s="244">
        <f>VLOOKUP(C7,'Project Status'!C:S,17,FALSE)</f>
        <v>1216485.5</v>
      </c>
      <c r="H7" s="245">
        <f>VLOOKUP(C7,'Project Status'!C:T,18,FALSE)</f>
        <v>-4400.96</v>
      </c>
      <c r="I7" s="249">
        <f>VLOOKUP(C7,'Project Status'!C:U,19,FALSE)</f>
        <v>0</v>
      </c>
      <c r="J7" s="283">
        <f>VLOOKUP(C7,'Project Status'!C:X,20,FALSE)</f>
        <v>0</v>
      </c>
    </row>
    <row r="8" spans="1:10" x14ac:dyDescent="0.4">
      <c r="A8" s="95">
        <f t="shared" ref="A8:A71" si="0">A7+1</f>
        <v>3</v>
      </c>
      <c r="B8" t="str">
        <f>VLOOKUP(C8,'Project Status'!C:K,8,FALSE)</f>
        <v>Active</v>
      </c>
      <c r="C8" s="54">
        <v>10146</v>
      </c>
      <c r="D8" s="25" t="str">
        <f>VLOOKUP(C8,'Project Status'!C:G,5,FALSE)</f>
        <v>Nursing</v>
      </c>
      <c r="E8" t="str">
        <f>VLOOKUP(C8,'Project Status'!C:I,7,FALSE)</f>
        <v>Godchaux Hall - HVAC Upgrade</v>
      </c>
      <c r="F8" s="243">
        <f>VLOOKUP(C8,'Project Status'!C:M,11,FALSE)</f>
        <v>318000</v>
      </c>
      <c r="G8" s="244">
        <f>VLOOKUP(C8,'Project Status'!C:S,17,FALSE)</f>
        <v>4900</v>
      </c>
      <c r="H8" s="245">
        <f>VLOOKUP(C8,'Project Status'!C:T,18,FALSE)</f>
        <v>255957</v>
      </c>
      <c r="I8" s="249">
        <f>VLOOKUP(C8,'Project Status'!C:U,19,FALSE)</f>
        <v>0</v>
      </c>
      <c r="J8" s="283">
        <f>VLOOKUP(C8,'Project Status'!C:X,20,FALSE)</f>
        <v>0</v>
      </c>
    </row>
    <row r="9" spans="1:10" x14ac:dyDescent="0.4">
      <c r="A9" s="95">
        <f t="shared" si="0"/>
        <v>4</v>
      </c>
      <c r="B9" t="str">
        <f>VLOOKUP(C9,'Project Status'!C:K,8,FALSE)</f>
        <v>Complete</v>
      </c>
      <c r="C9" s="54">
        <v>20179</v>
      </c>
      <c r="D9" s="25" t="str">
        <f>VLOOKUP(C9,'Project Status'!C:G,5,FALSE)</f>
        <v>Law</v>
      </c>
      <c r="E9" t="str">
        <f>VLOOKUP(C9,'Project Status'!C:I,7,FALSE)</f>
        <v>Law School - Fire Alarm System Replacement</v>
      </c>
      <c r="F9" s="243">
        <f>VLOOKUP(C9,'Project Status'!C:M,11,FALSE)</f>
        <v>1445389</v>
      </c>
      <c r="G9" s="244">
        <f>VLOOKUP(C9,'Project Status'!C:S,17,FALSE)</f>
        <v>722694.5</v>
      </c>
      <c r="H9" s="245">
        <f>VLOOKUP(C9,'Project Status'!C:T,18,FALSE)</f>
        <v>0</v>
      </c>
      <c r="I9" s="249">
        <f>VLOOKUP(C9,'Project Status'!C:U,19,FALSE)</f>
        <v>-92965.86</v>
      </c>
      <c r="J9" s="283">
        <f>VLOOKUP(C9,'Project Status'!C:X,20,FALSE)</f>
        <v>0</v>
      </c>
    </row>
    <row r="10" spans="1:10" x14ac:dyDescent="0.4">
      <c r="A10" s="95">
        <f t="shared" si="0"/>
        <v>5</v>
      </c>
      <c r="B10" t="str">
        <f>VLOOKUP(C10,'Project Status'!C:K,8,FALSE)</f>
        <v>Complete</v>
      </c>
      <c r="C10" s="54">
        <v>20336</v>
      </c>
      <c r="D10" s="25" t="str">
        <f>VLOOKUP(C10,'Project Status'!C:G,5,FALSE)</f>
        <v>Blair</v>
      </c>
      <c r="E10" t="str">
        <f>VLOOKUP(C10,'Project Status'!C:I,7,FALSE)</f>
        <v>Blair School of Music - Elevator #3 Modernization</v>
      </c>
      <c r="F10" s="243">
        <f>VLOOKUP(C10,'Project Status'!C:M,11,FALSE)</f>
        <v>327890</v>
      </c>
      <c r="G10" s="244">
        <f>VLOOKUP(C10,'Project Status'!C:S,17,FALSE)</f>
        <v>327890</v>
      </c>
      <c r="H10" s="245">
        <f>VLOOKUP(C10,'Project Status'!C:T,18,FALSE)</f>
        <v>-47290</v>
      </c>
      <c r="I10" s="249">
        <f>VLOOKUP(C10,'Project Status'!C:U,19,FALSE)</f>
        <v>0</v>
      </c>
      <c r="J10" s="283">
        <f>VLOOKUP(C10,'Project Status'!C:X,20,FALSE)</f>
        <v>0</v>
      </c>
    </row>
    <row r="11" spans="1:10" x14ac:dyDescent="0.4">
      <c r="A11" s="95">
        <f t="shared" si="0"/>
        <v>6</v>
      </c>
      <c r="B11" t="str">
        <f>VLOOKUP(C11,'Project Status'!C:K,8,FALSE)</f>
        <v>Active</v>
      </c>
      <c r="C11" s="54">
        <v>20431</v>
      </c>
      <c r="D11" s="25" t="str">
        <f>VLOOKUP(C11,'Project Status'!C:G,5,FALSE)</f>
        <v>Divinity</v>
      </c>
      <c r="E11" t="str">
        <f>VLOOKUP(C11,'Project Status'!C:I,7,FALSE)</f>
        <v>Divinity Air Handling Unit Replacement, (5/6)- Phase 1</v>
      </c>
      <c r="F11" s="243">
        <f>VLOOKUP(C11,'Project Status'!C:M,11,FALSE)</f>
        <v>3800000</v>
      </c>
      <c r="G11" s="244">
        <f>VLOOKUP(C11,'Project Status'!C:S,17,FALSE)</f>
        <v>69862.5</v>
      </c>
      <c r="H11" s="245">
        <f>VLOOKUP(C11,'Project Status'!C:T,18,FALSE)</f>
        <v>3660360</v>
      </c>
      <c r="I11" s="249">
        <f>VLOOKUP(C11,'Project Status'!C:U,19,FALSE)</f>
        <v>0</v>
      </c>
      <c r="J11" s="283">
        <f>VLOOKUP(C11,'Project Status'!C:X,20,FALSE)</f>
        <v>0</v>
      </c>
    </row>
    <row r="12" spans="1:10" x14ac:dyDescent="0.4">
      <c r="A12" s="95">
        <f t="shared" si="0"/>
        <v>7</v>
      </c>
      <c r="B12" t="str">
        <f>VLOOKUP(C12,'Project Status'!C:K,8,FALSE)</f>
        <v>Active</v>
      </c>
      <c r="C12" s="54">
        <v>20478</v>
      </c>
      <c r="D12" s="25" t="str">
        <f>VLOOKUP(C12,'Project Status'!C:G,5,FALSE)</f>
        <v>Arts &amp; Science</v>
      </c>
      <c r="E12" t="str">
        <f>VLOOKUP(C12,'Project Status'!C:I,7,FALSE)</f>
        <v>Bryan Building - Swing Space Renovation - A&amp;S Planning</v>
      </c>
      <c r="F12" s="243">
        <f>VLOOKUP(C12,'Project Status'!C:M,11,FALSE)</f>
        <v>2790000</v>
      </c>
      <c r="G12" s="244">
        <f>VLOOKUP(C12,'Project Status'!C:S,17,FALSE)</f>
        <v>81100</v>
      </c>
      <c r="H12" s="245">
        <f>VLOOKUP(C12,'Project Status'!C:T,18,FALSE)</f>
        <v>1028900</v>
      </c>
      <c r="I12" s="249">
        <f>VLOOKUP(C12,'Project Status'!C:U,19,FALSE)</f>
        <v>0</v>
      </c>
      <c r="J12" s="283">
        <f>VLOOKUP(C12,'Project Status'!C:X,20,FALSE)</f>
        <v>0</v>
      </c>
    </row>
    <row r="13" spans="1:10" x14ac:dyDescent="0.4">
      <c r="A13" s="95">
        <f t="shared" si="0"/>
        <v>8</v>
      </c>
      <c r="B13" t="str">
        <f>VLOOKUP(C13,'Project Status'!C:K,8,FALSE)</f>
        <v>Active</v>
      </c>
      <c r="C13" s="54">
        <v>20489</v>
      </c>
      <c r="D13" s="25" t="str">
        <f>VLOOKUP(C13,'Project Status'!C:G,5,FALSE)</f>
        <v>Divinity</v>
      </c>
      <c r="E13" t="str">
        <f>VLOOKUP(C13,'Project Status'!C:I,7,FALSE)</f>
        <v>Divinity Air Handling Unit Replacement,(1/3) - Phase 2 with Benton - FY26</v>
      </c>
      <c r="F13" s="243">
        <f>VLOOKUP(C13,'Project Status'!C:M,11,FALSE)</f>
        <v>3600000</v>
      </c>
      <c r="G13" s="244">
        <f>VLOOKUP(C13,'Project Status'!C:S,17,FALSE)</f>
        <v>26500</v>
      </c>
      <c r="H13" s="245">
        <f>VLOOKUP(C13,'Project Status'!C:T,18,FALSE)</f>
        <v>0</v>
      </c>
      <c r="I13" s="249">
        <f>VLOOKUP(C13,'Project Status'!C:U,19,FALSE)</f>
        <v>304500</v>
      </c>
      <c r="J13" s="283">
        <f>VLOOKUP(C13,'Project Status'!C:X,20,FALSE)</f>
        <v>2369000</v>
      </c>
    </row>
    <row r="14" spans="1:10" x14ac:dyDescent="0.4">
      <c r="A14" s="95">
        <f t="shared" si="0"/>
        <v>9</v>
      </c>
      <c r="B14" t="str">
        <f>VLOOKUP(C14,'Project Status'!C:K,8,FALSE)</f>
        <v>Complete</v>
      </c>
      <c r="C14" s="54">
        <v>20497</v>
      </c>
      <c r="D14" s="25" t="str">
        <f>VLOOKUP(C14,'Project Status'!C:G,5,FALSE)</f>
        <v>Peabody</v>
      </c>
      <c r="E14" t="str">
        <f>VLOOKUP(C14,'Project Status'!C:I,7,FALSE)</f>
        <v>Jesup - Roof Replacement</v>
      </c>
      <c r="F14" s="243">
        <f>VLOOKUP(C14,'Project Status'!C:M,11,FALSE)</f>
        <v>456850</v>
      </c>
      <c r="G14" s="244">
        <f>VLOOKUP(C14,'Project Status'!C:S,17,FALSE)</f>
        <v>79415.5</v>
      </c>
      <c r="H14" s="245">
        <f>VLOOKUP(C14,'Project Status'!C:T,18,FALSE)</f>
        <v>-44850</v>
      </c>
      <c r="I14" s="249">
        <f>VLOOKUP(C14,'Project Status'!C:U,19,FALSE)</f>
        <v>0</v>
      </c>
      <c r="J14" s="283">
        <f>VLOOKUP(C14,'Project Status'!C:X,20,FALSE)</f>
        <v>0</v>
      </c>
    </row>
    <row r="15" spans="1:10" x14ac:dyDescent="0.4">
      <c r="A15" s="95">
        <f t="shared" si="0"/>
        <v>10</v>
      </c>
      <c r="B15" t="str">
        <f>VLOOKUP(C15,'Project Status'!C:K,8,FALSE)</f>
        <v>Complete</v>
      </c>
      <c r="C15" s="54">
        <v>20506</v>
      </c>
      <c r="D15" s="25" t="str">
        <f>VLOOKUP(C15,'Project Status'!C:G,5,FALSE)</f>
        <v>Peabody</v>
      </c>
      <c r="E15" t="str">
        <f>VLOOKUP(C15,'Project Status'!C:I,7,FALSE)</f>
        <v>Wyatt Center - Window Replacement</v>
      </c>
      <c r="F15" s="243">
        <f>VLOOKUP(C15,'Project Status'!C:M,11,FALSE)</f>
        <v>344155.26</v>
      </c>
      <c r="G15" s="244">
        <f>VLOOKUP(C15,'Project Status'!C:S,17,FALSE)</f>
        <v>344155.26</v>
      </c>
      <c r="H15" s="245">
        <f>VLOOKUP(C15,'Project Status'!C:T,18,FALSE)</f>
        <v>-36379</v>
      </c>
      <c r="I15" s="249">
        <f>VLOOKUP(C15,'Project Status'!C:U,19,FALSE)</f>
        <v>0</v>
      </c>
      <c r="J15" s="283">
        <f>VLOOKUP(C15,'Project Status'!C:X,20,FALSE)</f>
        <v>0</v>
      </c>
    </row>
    <row r="16" spans="1:10" x14ac:dyDescent="0.4">
      <c r="A16" s="95">
        <f t="shared" si="0"/>
        <v>11</v>
      </c>
      <c r="B16" t="str">
        <f>VLOOKUP(C16,'Project Status'!C:K,8,FALSE)</f>
        <v>Deferred / On Hold</v>
      </c>
      <c r="C16" s="54">
        <v>20560</v>
      </c>
      <c r="D16" s="25" t="e">
        <f>VLOOKUP(C16,'Project Status'!C:G,5,FALSE)</f>
        <v>#N/A</v>
      </c>
      <c r="E16" t="str">
        <f>VLOOKUP(C16,'Project Status'!C:I,7,FALSE)</f>
        <v>Law School - Electrical Gear Replacement - FY23 FR</v>
      </c>
      <c r="F16" s="243">
        <f>VLOOKUP(C16,'Project Status'!C:M,11,FALSE)</f>
        <v>905610</v>
      </c>
      <c r="G16" s="244">
        <f>VLOOKUP(C16,'Project Status'!C:S,17,FALSE)</f>
        <v>0</v>
      </c>
      <c r="H16" s="245">
        <f>VLOOKUP(C16,'Project Status'!C:T,18,FALSE)</f>
        <v>0</v>
      </c>
      <c r="I16" s="249">
        <f>VLOOKUP(C16,'Project Status'!C:U,19,FALSE)</f>
        <v>0</v>
      </c>
      <c r="J16" s="283">
        <f>VLOOKUP(C16,'Project Status'!C:X,20,FALSE)</f>
        <v>0</v>
      </c>
    </row>
    <row r="17" spans="1:10" x14ac:dyDescent="0.4">
      <c r="A17" s="95">
        <f t="shared" si="0"/>
        <v>12</v>
      </c>
      <c r="B17" t="str">
        <f>VLOOKUP(C17,'Project Status'!C:K,8,FALSE)</f>
        <v>Complete</v>
      </c>
      <c r="C17" s="54">
        <v>20562</v>
      </c>
      <c r="D17" s="25" t="str">
        <f>VLOOKUP(C17,'Project Status'!C:G,5,FALSE)</f>
        <v>Peabody</v>
      </c>
      <c r="E17" t="str">
        <f>VLOOKUP(C17,'Project Status'!C:I,7,FALSE)</f>
        <v>Wyatt Center - VAV Replacement</v>
      </c>
      <c r="F17" s="243">
        <f>VLOOKUP(C17,'Project Status'!C:M,11,FALSE)</f>
        <v>400000</v>
      </c>
      <c r="G17" s="244">
        <f>VLOOKUP(C17,'Project Status'!C:S,17,FALSE)</f>
        <v>405791</v>
      </c>
      <c r="H17" s="245">
        <f>VLOOKUP(C17,'Project Status'!C:T,18,FALSE)</f>
        <v>-43231.360000000001</v>
      </c>
      <c r="I17" s="249">
        <f>VLOOKUP(C17,'Project Status'!C:U,19,FALSE)</f>
        <v>0</v>
      </c>
      <c r="J17" s="283">
        <f>VLOOKUP(C17,'Project Status'!C:X,20,FALSE)</f>
        <v>0</v>
      </c>
    </row>
    <row r="18" spans="1:10" x14ac:dyDescent="0.4">
      <c r="A18" s="95">
        <f t="shared" si="0"/>
        <v>13</v>
      </c>
      <c r="B18" t="str">
        <f>VLOOKUP(C18,'Project Status'!C:K,8,FALSE)</f>
        <v>Deferred / On Hold</v>
      </c>
      <c r="C18" s="54">
        <v>20563</v>
      </c>
      <c r="D18" s="25" t="str">
        <f>VLOOKUP(C18,'Project Status'!C:G,5,FALSE)</f>
        <v>Engineering</v>
      </c>
      <c r="E18" t="str">
        <f>VLOOKUP(C18,'Project Status'!C:I,7,FALSE)</f>
        <v>Keck FEL - Roof Replacement</v>
      </c>
      <c r="F18" s="243">
        <f>VLOOKUP(C18,'Project Status'!C:M,11,FALSE)</f>
        <v>386000</v>
      </c>
      <c r="G18" s="244">
        <f>VLOOKUP(C18,'Project Status'!C:S,17,FALSE)</f>
        <v>0</v>
      </c>
      <c r="H18" s="245">
        <f>VLOOKUP(C18,'Project Status'!C:T,18,FALSE)</f>
        <v>0</v>
      </c>
      <c r="I18" s="249">
        <f>VLOOKUP(C18,'Project Status'!C:U,19,FALSE)</f>
        <v>0</v>
      </c>
      <c r="J18" s="283">
        <f>VLOOKUP(C18,'Project Status'!C:X,20,FALSE)</f>
        <v>0</v>
      </c>
    </row>
    <row r="19" spans="1:10" x14ac:dyDescent="0.4">
      <c r="A19" s="95">
        <f t="shared" si="0"/>
        <v>14</v>
      </c>
      <c r="B19" t="str">
        <f>VLOOKUP(C19,'Project Status'!C:K,8,FALSE)</f>
        <v>Complete</v>
      </c>
      <c r="C19" s="54">
        <v>20566</v>
      </c>
      <c r="D19" s="25" t="str">
        <f>VLOOKUP(C19,'Project Status'!C:G,5,FALSE)</f>
        <v>Arts &amp; Science</v>
      </c>
      <c r="E19" t="str">
        <f>VLOOKUP(C19,'Project Status'!C:I,7,FALSE)</f>
        <v>SC Chemistry (SC7) - Elevator 1 &amp; 2 Modernization</v>
      </c>
      <c r="F19" s="243">
        <f>VLOOKUP(C19,'Project Status'!C:M,11,FALSE)</f>
        <v>781870</v>
      </c>
      <c r="G19" s="244">
        <f>VLOOKUP(C19,'Project Status'!C:S,17,FALSE)</f>
        <v>781870</v>
      </c>
      <c r="H19" s="245">
        <f>VLOOKUP(C19,'Project Status'!C:T,18,FALSE)</f>
        <v>-59283.32</v>
      </c>
      <c r="I19" s="249">
        <f>VLOOKUP(C19,'Project Status'!C:U,19,FALSE)</f>
        <v>0</v>
      </c>
      <c r="J19" s="283">
        <f>VLOOKUP(C19,'Project Status'!C:X,20,FALSE)</f>
        <v>0</v>
      </c>
    </row>
    <row r="20" spans="1:10" x14ac:dyDescent="0.4">
      <c r="A20" s="95">
        <f t="shared" si="0"/>
        <v>15</v>
      </c>
      <c r="B20" t="str">
        <f>VLOOKUP(C20,'Project Status'!C:K,8,FALSE)</f>
        <v>Complete</v>
      </c>
      <c r="C20" s="54">
        <v>20573</v>
      </c>
      <c r="D20" s="25" t="str">
        <f>VLOOKUP(C20,'Project Status'!C:G,5,FALSE)</f>
        <v>Peabody</v>
      </c>
      <c r="E20" t="str">
        <f>VLOOKUP(C20,'Project Status'!C:I,7,FALSE)</f>
        <v>Wyatt Center - Roof Replacement</v>
      </c>
      <c r="F20" s="243">
        <f>VLOOKUP(C20,'Project Status'!C:M,11,FALSE)</f>
        <v>1232681</v>
      </c>
      <c r="G20" s="244">
        <f>VLOOKUP(C20,'Project Status'!C:S,17,FALSE)</f>
        <v>1232681</v>
      </c>
      <c r="H20" s="245">
        <f>VLOOKUP(C20,'Project Status'!C:T,18,FALSE)</f>
        <v>-119221</v>
      </c>
      <c r="I20" s="249">
        <f>VLOOKUP(C20,'Project Status'!C:U,19,FALSE)</f>
        <v>0</v>
      </c>
      <c r="J20" s="283">
        <f>VLOOKUP(C20,'Project Status'!C:X,20,FALSE)</f>
        <v>0</v>
      </c>
    </row>
    <row r="21" spans="1:10" x14ac:dyDescent="0.4">
      <c r="A21" s="95">
        <f t="shared" si="0"/>
        <v>16</v>
      </c>
      <c r="B21" t="str">
        <f>VLOOKUP(C21,'Project Status'!C:K,8,FALSE)</f>
        <v>Complete</v>
      </c>
      <c r="C21" s="54">
        <v>20574</v>
      </c>
      <c r="D21" s="25" t="str">
        <f>VLOOKUP(C21,'Project Status'!C:G,5,FALSE)</f>
        <v>SOM Basic Sciences</v>
      </c>
      <c r="E21" t="str">
        <f>VLOOKUP(C21,'Project Status'!C:I,7,FALSE)</f>
        <v>MRB III - Steam Coil Replacement</v>
      </c>
      <c r="F21" s="243">
        <f>VLOOKUP(C21,'Project Status'!C:M,11,FALSE)</f>
        <v>218202</v>
      </c>
      <c r="G21" s="244">
        <f>VLOOKUP(C21,'Project Status'!C:S,17,FALSE)</f>
        <v>218202</v>
      </c>
      <c r="H21" s="245">
        <f>VLOOKUP(C21,'Project Status'!C:T,18,FALSE)</f>
        <v>-22537</v>
      </c>
      <c r="I21" s="249">
        <f>VLOOKUP(C21,'Project Status'!C:U,19,FALSE)</f>
        <v>0</v>
      </c>
      <c r="J21" s="283">
        <f>VLOOKUP(C21,'Project Status'!C:X,20,FALSE)</f>
        <v>0</v>
      </c>
    </row>
    <row r="22" spans="1:10" x14ac:dyDescent="0.4">
      <c r="A22" s="95">
        <f t="shared" si="0"/>
        <v>17</v>
      </c>
      <c r="B22" t="str">
        <f>VLOOKUP(C22,'Project Status'!C:K,8,FALSE)</f>
        <v>Active</v>
      </c>
      <c r="C22" s="54">
        <v>20577</v>
      </c>
      <c r="D22" s="25" t="str">
        <f>VLOOKUP(C22,'Project Status'!C:G,5,FALSE)</f>
        <v>Blair</v>
      </c>
      <c r="E22" t="str">
        <f>VLOOKUP(C22,'Project Status'!C:I,7,FALSE)</f>
        <v>Blair School of Music - AHU - 1 Replacement - Phase 1 - FY25</v>
      </c>
      <c r="F22" s="243">
        <f>VLOOKUP(C22,'Project Status'!C:M,11,FALSE)</f>
        <v>1300000</v>
      </c>
      <c r="G22" s="244">
        <f>VLOOKUP(C22,'Project Status'!C:S,17,FALSE)</f>
        <v>223000</v>
      </c>
      <c r="H22" s="245">
        <f>VLOOKUP(C22,'Project Status'!C:T,18,FALSE)</f>
        <v>0</v>
      </c>
      <c r="I22" s="249">
        <f>VLOOKUP(C22,'Project Status'!C:U,19,FALSE)</f>
        <v>1077000</v>
      </c>
      <c r="J22" s="283">
        <f>VLOOKUP(C22,'Project Status'!C:X,20,FALSE)</f>
        <v>0</v>
      </c>
    </row>
    <row r="23" spans="1:10" x14ac:dyDescent="0.4">
      <c r="A23" s="95">
        <f t="shared" si="0"/>
        <v>18</v>
      </c>
      <c r="B23" t="str">
        <f>VLOOKUP(C23,'Project Status'!C:K,8,FALSE)</f>
        <v>Complete</v>
      </c>
      <c r="C23" s="54">
        <v>20644</v>
      </c>
      <c r="D23" s="25" t="str">
        <f>VLOOKUP(C23,'Project Status'!C:G,5,FALSE)</f>
        <v>Peabody</v>
      </c>
      <c r="E23" t="str">
        <f>VLOOKUP(C23,'Project Status'!C:I,7,FALSE)</f>
        <v>Peabody Administration - Envelope Repairs</v>
      </c>
      <c r="F23" s="243">
        <f>VLOOKUP(C23,'Project Status'!C:M,11,FALSE)</f>
        <v>630554</v>
      </c>
      <c r="G23" s="244">
        <f>VLOOKUP(C23,'Project Status'!C:S,17,FALSE)</f>
        <v>630554</v>
      </c>
      <c r="H23" s="245">
        <f>VLOOKUP(C23,'Project Status'!C:T,18,FALSE)</f>
        <v>-58765</v>
      </c>
      <c r="I23" s="249">
        <f>VLOOKUP(C23,'Project Status'!C:U,19,FALSE)</f>
        <v>0</v>
      </c>
      <c r="J23" s="283">
        <f>VLOOKUP(C23,'Project Status'!C:X,20,FALSE)</f>
        <v>0</v>
      </c>
    </row>
    <row r="24" spans="1:10" x14ac:dyDescent="0.4">
      <c r="A24" s="95">
        <f t="shared" si="0"/>
        <v>19</v>
      </c>
      <c r="B24" t="str">
        <f>VLOOKUP(C24,'Project Status'!C:K,8,FALSE)</f>
        <v>Complete</v>
      </c>
      <c r="C24" s="54">
        <v>20645</v>
      </c>
      <c r="D24" s="25" t="str">
        <f>VLOOKUP(C24,'Project Status'!C:G,5,FALSE)</f>
        <v>Arts &amp; Science</v>
      </c>
      <c r="E24" t="str">
        <f>VLOOKUP(C24,'Project Status'!C:I,7,FALSE)</f>
        <v>Benson Old Central - Replace Soffit and Doors</v>
      </c>
      <c r="F24" s="243">
        <f>VLOOKUP(C24,'Project Status'!C:M,11,FALSE)</f>
        <v>125875</v>
      </c>
      <c r="G24" s="244">
        <f>VLOOKUP(C24,'Project Status'!C:S,17,FALSE)</f>
        <v>125875</v>
      </c>
      <c r="H24" s="245">
        <f>VLOOKUP(C24,'Project Status'!C:T,18,FALSE)</f>
        <v>-11525</v>
      </c>
      <c r="I24" s="249">
        <f>VLOOKUP(C24,'Project Status'!C:U,19,FALSE)</f>
        <v>0</v>
      </c>
      <c r="J24" s="283">
        <f>VLOOKUP(C24,'Project Status'!C:X,20,FALSE)</f>
        <v>0</v>
      </c>
    </row>
    <row r="25" spans="1:10" x14ac:dyDescent="0.4">
      <c r="A25" s="95">
        <f t="shared" si="0"/>
        <v>20</v>
      </c>
      <c r="B25" t="str">
        <f>VLOOKUP(C25,'Project Status'!C:K,8,FALSE)</f>
        <v>Active</v>
      </c>
      <c r="C25" s="54">
        <v>20667</v>
      </c>
      <c r="D25" s="25" t="str">
        <f>VLOOKUP(C25,'Project Status'!C:G,5,FALSE)</f>
        <v>Engineering</v>
      </c>
      <c r="E25" t="str">
        <f>VLOOKUP(C25,'Project Status'!C:I,7,FALSE)</f>
        <v>1025 16th Avenue - Mechanical and Electrical Upgrades</v>
      </c>
      <c r="F25" s="243">
        <f>VLOOKUP(C25,'Project Status'!C:M,11,FALSE)</f>
        <v>1550000</v>
      </c>
      <c r="G25" s="244">
        <f>VLOOKUP(C25,'Project Status'!C:S,17,FALSE)</f>
        <v>146500</v>
      </c>
      <c r="H25" s="245">
        <f>VLOOKUP(C25,'Project Status'!C:T,18,FALSE)</f>
        <v>0</v>
      </c>
      <c r="I25" s="249">
        <f>VLOOKUP(C25,'Project Status'!C:U,19,FALSE)</f>
        <v>1398860</v>
      </c>
      <c r="J25" s="283">
        <f>VLOOKUP(C25,'Project Status'!C:X,20,FALSE)</f>
        <v>0</v>
      </c>
    </row>
    <row r="26" spans="1:10" x14ac:dyDescent="0.4">
      <c r="A26" s="95">
        <f t="shared" si="0"/>
        <v>21</v>
      </c>
      <c r="B26" t="str">
        <f>VLOOKUP(C26,'Project Status'!C:K,8,FALSE)</f>
        <v>Active</v>
      </c>
      <c r="C26" s="54">
        <v>20668</v>
      </c>
      <c r="D26" s="25" t="str">
        <f>VLOOKUP(C26,'Project Status'!C:G,5,FALSE)</f>
        <v>Engineering</v>
      </c>
      <c r="E26" t="str">
        <f>VLOOKUP(C26,'Project Status'!C:I,7,FALSE)</f>
        <v>Keck FEL - Mechanical Upgrades</v>
      </c>
      <c r="F26" s="243">
        <f>VLOOKUP(C26,'Project Status'!C:M,11,FALSE)</f>
        <v>3960000</v>
      </c>
      <c r="G26" s="244">
        <f>VLOOKUP(C26,'Project Status'!C:S,17,FALSE)</f>
        <v>206500</v>
      </c>
      <c r="H26" s="245">
        <f>VLOOKUP(C26,'Project Status'!C:T,18,FALSE)</f>
        <v>24933</v>
      </c>
      <c r="I26" s="249">
        <f>VLOOKUP(C26,'Project Status'!C:U,19,FALSE)</f>
        <v>0</v>
      </c>
      <c r="J26" s="283">
        <f>VLOOKUP(C26,'Project Status'!C:X,20,FALSE)</f>
        <v>0</v>
      </c>
    </row>
    <row r="27" spans="1:10" x14ac:dyDescent="0.4">
      <c r="A27" s="95">
        <f t="shared" si="0"/>
        <v>22</v>
      </c>
      <c r="B27" t="str">
        <f>VLOOKUP(C27,'Project Status'!C:K,8,FALSE)</f>
        <v>Complete</v>
      </c>
      <c r="C27" s="54">
        <v>20698</v>
      </c>
      <c r="D27" s="25" t="str">
        <f>VLOOKUP(C27,'Project Status'!C:G,5,FALSE)</f>
        <v>Arts &amp; Science</v>
      </c>
      <c r="E27" t="str">
        <f>VLOOKUP(C27,'Project Status'!C:I,7,FALSE)</f>
        <v>Wilson Hall - Fire Alarm Replacement</v>
      </c>
      <c r="F27" s="243">
        <f>VLOOKUP(C27,'Project Status'!C:M,11,FALSE)</f>
        <v>680000</v>
      </c>
      <c r="G27" s="244">
        <f>VLOOKUP(C27,'Project Status'!C:S,17,FALSE)</f>
        <v>29250</v>
      </c>
      <c r="H27" s="245">
        <f>VLOOKUP(C27,'Project Status'!C:T,18,FALSE)</f>
        <v>649263</v>
      </c>
      <c r="I27" s="249">
        <f>VLOOKUP(C27,'Project Status'!C:U,19,FALSE)</f>
        <v>0</v>
      </c>
      <c r="J27" s="283">
        <f>VLOOKUP(C27,'Project Status'!C:X,20,FALSE)</f>
        <v>0</v>
      </c>
    </row>
    <row r="28" spans="1:10" x14ac:dyDescent="0.4">
      <c r="A28" s="95">
        <f t="shared" si="0"/>
        <v>23</v>
      </c>
      <c r="B28" t="str">
        <f>VLOOKUP(C28,'Project Status'!C:K,8,FALSE)</f>
        <v>Complete</v>
      </c>
      <c r="C28" s="54">
        <v>20700</v>
      </c>
      <c r="D28" s="25" t="str">
        <f>VLOOKUP(C28,'Project Status'!C:G,5,FALSE)</f>
        <v>Arts &amp; Science</v>
      </c>
      <c r="E28" t="str">
        <f>VLOOKUP(C28,'Project Status'!C:I,7,FALSE)</f>
        <v>SC-7 Chemistry - SG-1 Removal and Connection to Central Plant Steam</v>
      </c>
      <c r="F28" s="243">
        <f>VLOOKUP(C28,'Project Status'!C:M,11,FALSE)</f>
        <v>80000</v>
      </c>
      <c r="G28" s="244">
        <f>VLOOKUP(C28,'Project Status'!C:S,17,FALSE)</f>
        <v>79623</v>
      </c>
      <c r="H28" s="245">
        <f>VLOOKUP(C28,'Project Status'!C:T,18,FALSE)</f>
        <v>5954</v>
      </c>
      <c r="I28" s="249">
        <f>VLOOKUP(C28,'Project Status'!C:U,19,FALSE)</f>
        <v>0</v>
      </c>
      <c r="J28" s="283">
        <f>VLOOKUP(C28,'Project Status'!C:X,20,FALSE)</f>
        <v>0</v>
      </c>
    </row>
    <row r="29" spans="1:10" x14ac:dyDescent="0.4">
      <c r="A29" s="95">
        <f t="shared" si="0"/>
        <v>24</v>
      </c>
      <c r="B29" t="str">
        <f>VLOOKUP(C29,'Project Status'!C:K,8,FALSE)</f>
        <v>Active</v>
      </c>
      <c r="C29" s="54">
        <v>20701</v>
      </c>
      <c r="D29" s="25" t="str">
        <f>VLOOKUP(C29,'Project Status'!C:G,5,FALSE)</f>
        <v>Arts &amp; Science</v>
      </c>
      <c r="E29" t="str">
        <f>VLOOKUP(C29,'Project Status'!C:I,7,FALSE)</f>
        <v>SC-5 - Chemical Discharge Replacement</v>
      </c>
      <c r="F29" s="243">
        <f>VLOOKUP(C29,'Project Status'!C:M,11,FALSE)</f>
        <v>500000</v>
      </c>
      <c r="G29" s="244">
        <f>VLOOKUP(C29,'Project Status'!C:S,17,FALSE)</f>
        <v>499093</v>
      </c>
      <c r="H29" s="245">
        <f>VLOOKUP(C29,'Project Status'!C:T,18,FALSE)</f>
        <v>0</v>
      </c>
      <c r="I29" s="249">
        <f>VLOOKUP(C29,'Project Status'!C:U,19,FALSE)</f>
        <v>0</v>
      </c>
      <c r="J29" s="283">
        <f>VLOOKUP(C29,'Project Status'!C:X,20,FALSE)</f>
        <v>0</v>
      </c>
    </row>
    <row r="30" spans="1:10" x14ac:dyDescent="0.4">
      <c r="A30" s="95">
        <f t="shared" si="0"/>
        <v>25</v>
      </c>
      <c r="B30" t="str">
        <f>VLOOKUP(C30,'Project Status'!C:K,8,FALSE)</f>
        <v>Complete</v>
      </c>
      <c r="C30" s="54">
        <v>20702</v>
      </c>
      <c r="D30" s="25" t="str">
        <f>VLOOKUP(C30,'Project Status'!C:G,5,FALSE)</f>
        <v>Peabody</v>
      </c>
      <c r="E30" t="str">
        <f>VLOOKUP(C30,'Project Status'!C:I,7,FALSE)</f>
        <v>Wyatt Center - Elevator #2 Modernization</v>
      </c>
      <c r="F30" s="243">
        <f>VLOOKUP(C30,'Project Status'!C:M,11,FALSE)</f>
        <v>225791</v>
      </c>
      <c r="G30" s="244">
        <f>VLOOKUP(C30,'Project Status'!C:S,17,FALSE)</f>
        <v>239341</v>
      </c>
      <c r="H30" s="245">
        <f>VLOOKUP(C30,'Project Status'!C:T,18,FALSE)</f>
        <v>-29922</v>
      </c>
      <c r="I30" s="249">
        <f>VLOOKUP(C30,'Project Status'!C:U,19,FALSE)</f>
        <v>0</v>
      </c>
      <c r="J30" s="283">
        <f>VLOOKUP(C30,'Project Status'!C:X,20,FALSE)</f>
        <v>0</v>
      </c>
    </row>
    <row r="31" spans="1:10" x14ac:dyDescent="0.4">
      <c r="A31" s="95">
        <f t="shared" si="0"/>
        <v>26</v>
      </c>
      <c r="B31" t="str">
        <f>VLOOKUP(C31,'Project Status'!C:K,8,FALSE)</f>
        <v>Complete</v>
      </c>
      <c r="C31" s="54">
        <v>20718</v>
      </c>
      <c r="D31" s="25" t="str">
        <f>VLOOKUP(C31,'Project Status'!C:G,5,FALSE)</f>
        <v>Arts &amp; Science</v>
      </c>
      <c r="E31" t="str">
        <f>VLOOKUP(C31,'Project Status'!C:I,7,FALSE)</f>
        <v>Buttrick Hall - 3rd Floor Inequality Renovations</v>
      </c>
      <c r="F31" s="243">
        <f>VLOOKUP(C31,'Project Status'!C:M,11,FALSE)</f>
        <v>715000</v>
      </c>
      <c r="G31" s="244">
        <f>VLOOKUP(C31,'Project Status'!C:S,17,FALSE)</f>
        <v>96166</v>
      </c>
      <c r="H31" s="245">
        <f>VLOOKUP(C31,'Project Status'!C:T,18,FALSE)</f>
        <v>0</v>
      </c>
      <c r="I31" s="249">
        <f>VLOOKUP(C31,'Project Status'!C:U,19,FALSE)</f>
        <v>0</v>
      </c>
      <c r="J31" s="283">
        <f>VLOOKUP(C31,'Project Status'!C:X,20,FALSE)</f>
        <v>0</v>
      </c>
    </row>
    <row r="32" spans="1:10" x14ac:dyDescent="0.4">
      <c r="A32" s="95">
        <f t="shared" si="0"/>
        <v>27</v>
      </c>
      <c r="B32" t="str">
        <f>VLOOKUP(C32,'Project Status'!C:K,8,FALSE)</f>
        <v>Active</v>
      </c>
      <c r="C32" s="54">
        <v>20723</v>
      </c>
      <c r="D32" s="25" t="str">
        <f>VLOOKUP(C32,'Project Status'!C:G,5,FALSE)</f>
        <v>SOM Basic Sciences</v>
      </c>
      <c r="E32" t="str">
        <f>VLOOKUP(C32,'Project Status'!C:I,7,FALSE)</f>
        <v>MRB III - 9th Floor (with 4 ,5 &amp; 8) - Replace Controls (Phase 3)</v>
      </c>
      <c r="F32" s="243">
        <f>VLOOKUP(C32,'Project Status'!C:M,11,FALSE)</f>
        <v>1610000</v>
      </c>
      <c r="G32" s="244">
        <f>VLOOKUP(C32,'Project Status'!C:S,17,FALSE)</f>
        <v>160500</v>
      </c>
      <c r="H32" s="245">
        <f>VLOOKUP(C32,'Project Status'!C:T,18,FALSE)</f>
        <v>0</v>
      </c>
      <c r="I32" s="249">
        <f>VLOOKUP(C32,'Project Status'!C:U,19,FALSE)</f>
        <v>1539500</v>
      </c>
      <c r="J32" s="283">
        <f>VLOOKUP(C32,'Project Status'!C:X,20,FALSE)</f>
        <v>0</v>
      </c>
    </row>
    <row r="33" spans="1:10" x14ac:dyDescent="0.4">
      <c r="A33" s="95">
        <f t="shared" si="0"/>
        <v>28</v>
      </c>
      <c r="B33" t="str">
        <f>VLOOKUP(C33,'Project Status'!C:K,8,FALSE)</f>
        <v>Active</v>
      </c>
      <c r="C33" s="54">
        <v>20724</v>
      </c>
      <c r="D33" s="25" t="str">
        <f>VLOOKUP(C33,'Project Status'!C:G,5,FALSE)</f>
        <v>Blair</v>
      </c>
      <c r="E33" t="str">
        <f>VLOOKUP(C33,'Project Status'!C:I,7,FALSE)</f>
        <v>Blair School of Music - Steam Line - FY 23</v>
      </c>
      <c r="F33" s="243">
        <f>VLOOKUP(C33,'Project Status'!C:M,11,FALSE)</f>
        <v>1987500</v>
      </c>
      <c r="G33" s="244">
        <f>VLOOKUP(C33,'Project Status'!C:S,17,FALSE)</f>
        <v>23400</v>
      </c>
      <c r="H33" s="245">
        <f>VLOOKUP(C33,'Project Status'!C:T,18,FALSE)</f>
        <v>1964100</v>
      </c>
      <c r="I33" s="249">
        <f>VLOOKUP(C33,'Project Status'!C:U,19,FALSE)</f>
        <v>0</v>
      </c>
      <c r="J33" s="283">
        <f>VLOOKUP(C33,'Project Status'!C:X,20,FALSE)</f>
        <v>0</v>
      </c>
    </row>
    <row r="34" spans="1:10" x14ac:dyDescent="0.4">
      <c r="A34" s="95">
        <f t="shared" si="0"/>
        <v>29</v>
      </c>
      <c r="B34" t="str">
        <f>VLOOKUP(C34,'Project Status'!C:K,8,FALSE)</f>
        <v>Complete</v>
      </c>
      <c r="C34" s="54">
        <v>20735</v>
      </c>
      <c r="D34" s="25" t="str">
        <f>VLOOKUP(C34,'Project Status'!C:G,5,FALSE)</f>
        <v>Owen</v>
      </c>
      <c r="E34" t="str">
        <f>VLOOKUP(C34,'Project Status'!C:I,7,FALSE)</f>
        <v>Owen - Roof Replacement (Third Level)</v>
      </c>
      <c r="F34" s="243">
        <f>VLOOKUP(C34,'Project Status'!C:M,11,FALSE)</f>
        <v>300000</v>
      </c>
      <c r="G34" s="244">
        <f>VLOOKUP(C34,'Project Status'!C:S,17,FALSE)</f>
        <v>300000</v>
      </c>
      <c r="H34" s="245">
        <f>VLOOKUP(C34,'Project Status'!C:T,18,FALSE)</f>
        <v>-23500</v>
      </c>
      <c r="I34" s="249">
        <f>VLOOKUP(C34,'Project Status'!C:U,19,FALSE)</f>
        <v>0</v>
      </c>
      <c r="J34" s="283">
        <f>VLOOKUP(C34,'Project Status'!C:X,20,FALSE)</f>
        <v>0</v>
      </c>
    </row>
    <row r="35" spans="1:10" x14ac:dyDescent="0.4">
      <c r="A35" s="95">
        <f t="shared" si="0"/>
        <v>30</v>
      </c>
      <c r="B35" t="str">
        <f>VLOOKUP(C35,'Project Status'!C:K,8,FALSE)</f>
        <v>Active</v>
      </c>
      <c r="C35" s="54">
        <v>20767</v>
      </c>
      <c r="D35" s="25" t="str">
        <f>VLOOKUP(C35,'Project Status'!C:G,5,FALSE)</f>
        <v>Peabody</v>
      </c>
      <c r="E35" t="str">
        <f>VLOOKUP(C35,'Project Status'!C:I,7,FALSE)</f>
        <v>Six Magnolia Circle - Foundation Repairs</v>
      </c>
      <c r="F35" s="243">
        <f>VLOOKUP(C35,'Project Status'!C:M,11,FALSE)</f>
        <v>149000</v>
      </c>
      <c r="G35" s="244">
        <f>VLOOKUP(C35,'Project Status'!C:S,17,FALSE)</f>
        <v>0</v>
      </c>
      <c r="H35" s="245">
        <f>VLOOKUP(C35,'Project Status'!C:T,18,FALSE)</f>
        <v>148299</v>
      </c>
      <c r="I35" s="249">
        <f>VLOOKUP(C35,'Project Status'!C:U,19,FALSE)</f>
        <v>0</v>
      </c>
      <c r="J35" s="283">
        <f>VLOOKUP(C35,'Project Status'!C:X,20,FALSE)</f>
        <v>0</v>
      </c>
    </row>
    <row r="36" spans="1:10" x14ac:dyDescent="0.4">
      <c r="A36" s="95">
        <f t="shared" si="0"/>
        <v>31</v>
      </c>
      <c r="B36" t="str">
        <f>VLOOKUP(C36,'Project Status'!C:K,8,FALSE)</f>
        <v>Complete</v>
      </c>
      <c r="C36" s="54">
        <v>20771</v>
      </c>
      <c r="D36" s="25" t="str">
        <f>VLOOKUP(C36,'Project Status'!C:G,5,FALSE)</f>
        <v>Arts &amp; Science</v>
      </c>
      <c r="E36" t="str">
        <f>VLOOKUP(C36,'Project Status'!C:I,7,FALSE)</f>
        <v>SC4 - Interstitial Space HVAC Modifications</v>
      </c>
      <c r="F36" s="243">
        <f>VLOOKUP(C36,'Project Status'!C:M,11,FALSE)</f>
        <v>25000</v>
      </c>
      <c r="G36" s="244">
        <f>VLOOKUP(C36,'Project Status'!C:S,17,FALSE)</f>
        <v>24997</v>
      </c>
      <c r="H36" s="245">
        <f>VLOOKUP(C36,'Project Status'!C:T,18,FALSE)</f>
        <v>-7025</v>
      </c>
      <c r="I36" s="249">
        <f>VLOOKUP(C36,'Project Status'!C:U,19,FALSE)</f>
        <v>0</v>
      </c>
      <c r="J36" s="283">
        <f>VLOOKUP(C36,'Project Status'!C:X,20,FALSE)</f>
        <v>0</v>
      </c>
    </row>
    <row r="37" spans="1:10" x14ac:dyDescent="0.4">
      <c r="A37" s="95">
        <f t="shared" si="0"/>
        <v>32</v>
      </c>
      <c r="B37" t="str">
        <f>VLOOKUP(C37,'Project Status'!C:K,8,FALSE)</f>
        <v>Active</v>
      </c>
      <c r="C37" s="54">
        <v>20772</v>
      </c>
      <c r="D37" s="25" t="str">
        <f>VLOOKUP(C37,'Project Status'!C:G,5,FALSE)</f>
        <v>Owen</v>
      </c>
      <c r="E37" t="str">
        <f>VLOOKUP(C37,'Project Status'!C:I,7,FALSE)</f>
        <v>OGSM Old Mechanical- Slate Roof &amp; Window Replacement</v>
      </c>
      <c r="F37" s="243">
        <f>VLOOKUP(C37,'Project Status'!C:M,11,FALSE)</f>
        <v>3200000</v>
      </c>
      <c r="G37" s="244">
        <f>VLOOKUP(C37,'Project Status'!C:S,17,FALSE)</f>
        <v>0</v>
      </c>
      <c r="H37" s="245">
        <f>VLOOKUP(C37,'Project Status'!C:T,18,FALSE)</f>
        <v>1600000</v>
      </c>
      <c r="I37" s="249">
        <f>VLOOKUP(C37,'Project Status'!C:U,19,FALSE)</f>
        <v>1600000</v>
      </c>
      <c r="J37" s="283">
        <f>VLOOKUP(C37,'Project Status'!C:X,20,FALSE)</f>
        <v>-222611.86</v>
      </c>
    </row>
    <row r="38" spans="1:10" x14ac:dyDescent="0.4">
      <c r="A38" s="95">
        <f t="shared" si="0"/>
        <v>33</v>
      </c>
      <c r="B38" t="str">
        <f>VLOOKUP(C38,'Project Status'!C:K,8,FALSE)</f>
        <v>Complete</v>
      </c>
      <c r="C38" s="54">
        <v>20792</v>
      </c>
      <c r="D38" s="25" t="str">
        <f>VLOOKUP(C38,'Project Status'!C:G,5,FALSE)</f>
        <v>Law</v>
      </c>
      <c r="E38" t="str">
        <f>VLOOKUP(C38,'Project Status'!C:I,7,FALSE)</f>
        <v>Law School - Sections 1, 2, &amp; 3  Roof Replacement</v>
      </c>
      <c r="F38" s="243">
        <f>VLOOKUP(C38,'Project Status'!C:M,11,FALSE)</f>
        <v>400000</v>
      </c>
      <c r="G38" s="244">
        <f>VLOOKUP(C38,'Project Status'!C:S,17,FALSE)</f>
        <v>483440</v>
      </c>
      <c r="H38" s="245">
        <f>VLOOKUP(C38,'Project Status'!C:T,18,FALSE)</f>
        <v>-32665</v>
      </c>
      <c r="I38" s="249">
        <f>VLOOKUP(C38,'Project Status'!C:U,19,FALSE)</f>
        <v>0</v>
      </c>
      <c r="J38" s="283">
        <f>VLOOKUP(C38,'Project Status'!C:X,20,FALSE)</f>
        <v>0</v>
      </c>
    </row>
    <row r="39" spans="1:10" x14ac:dyDescent="0.4">
      <c r="A39" s="95">
        <f t="shared" si="0"/>
        <v>34</v>
      </c>
      <c r="B39" t="str">
        <f>VLOOKUP(C39,'Project Status'!C:K,8,FALSE)</f>
        <v>Active</v>
      </c>
      <c r="C39" s="54">
        <v>20811</v>
      </c>
      <c r="D39" s="25" t="str">
        <f>VLOOKUP(C39,'Project Status'!C:G,5,FALSE)</f>
        <v>Peabody</v>
      </c>
      <c r="E39" t="str">
        <f>VLOOKUP(C39,'Project Status'!C:I,7,FALSE)</f>
        <v>One Magnolia Circle - Retaining Wall Repair</v>
      </c>
      <c r="F39" s="243">
        <f>VLOOKUP(C39,'Project Status'!C:M,11,FALSE)</f>
        <v>75000</v>
      </c>
      <c r="G39" s="244">
        <f>VLOOKUP(C39,'Project Status'!C:S,17,FALSE)</f>
        <v>0</v>
      </c>
      <c r="H39" s="245">
        <f>VLOOKUP(C39,'Project Status'!C:T,18,FALSE)</f>
        <v>285233.27</v>
      </c>
      <c r="I39" s="249">
        <f>VLOOKUP(C39,'Project Status'!C:U,19,FALSE)</f>
        <v>0</v>
      </c>
      <c r="J39" s="283">
        <f>VLOOKUP(C39,'Project Status'!C:X,20,FALSE)</f>
        <v>0</v>
      </c>
    </row>
    <row r="40" spans="1:10" x14ac:dyDescent="0.4">
      <c r="A40" s="95">
        <f t="shared" si="0"/>
        <v>35</v>
      </c>
      <c r="B40" t="str">
        <f>VLOOKUP(C40,'Project Status'!C:K,8,FALSE)</f>
        <v>Active</v>
      </c>
      <c r="C40" s="54">
        <v>20812</v>
      </c>
      <c r="D40" s="25" t="str">
        <f>VLOOKUP(C40,'Project Status'!C:G,5,FALSE)</f>
        <v>Engineering</v>
      </c>
      <c r="E40" t="str">
        <f>VLOOKUP(C40,'Project Status'!C:I,7,FALSE)</f>
        <v>1025 16th Avenue - Patio Repairs</v>
      </c>
      <c r="F40" s="243">
        <f>VLOOKUP(C40,'Project Status'!C:M,11,FALSE)</f>
        <v>485000</v>
      </c>
      <c r="G40" s="244">
        <f>VLOOKUP(C40,'Project Status'!C:S,17,FALSE)</f>
        <v>0</v>
      </c>
      <c r="H40" s="245">
        <f>VLOOKUP(C40,'Project Status'!C:T,18,FALSE)</f>
        <v>0</v>
      </c>
      <c r="I40" s="249">
        <f>VLOOKUP(C40,'Project Status'!C:U,19,FALSE)</f>
        <v>486135</v>
      </c>
      <c r="J40" s="283">
        <f>VLOOKUP(C40,'Project Status'!C:X,20,FALSE)</f>
        <v>0</v>
      </c>
    </row>
    <row r="41" spans="1:10" x14ac:dyDescent="0.4">
      <c r="A41" s="95">
        <f t="shared" si="0"/>
        <v>36</v>
      </c>
      <c r="B41" t="str">
        <f>VLOOKUP(C41,'Project Status'!C:K,8,FALSE)</f>
        <v>Complete</v>
      </c>
      <c r="C41" s="54">
        <v>20831</v>
      </c>
      <c r="D41" s="25" t="str">
        <f>VLOOKUP(C41,'Project Status'!C:G,5,FALSE)</f>
        <v>Arts &amp; Science</v>
      </c>
      <c r="E41" t="str">
        <f>VLOOKUP(C41,'Project Status'!C:I,7,FALSE)</f>
        <v>SC6 - HVAC Upgrades - Feasibility Study</v>
      </c>
      <c r="F41" s="243">
        <f>VLOOKUP(C41,'Project Status'!C:M,11,FALSE)</f>
        <v>24000</v>
      </c>
      <c r="G41" s="244">
        <f>VLOOKUP(C41,'Project Status'!C:S,17,FALSE)</f>
        <v>0</v>
      </c>
      <c r="H41" s="245">
        <f>VLOOKUP(C41,'Project Status'!C:T,18,FALSE)</f>
        <v>24000</v>
      </c>
      <c r="I41" s="249">
        <f>VLOOKUP(C41,'Project Status'!C:U,19,FALSE)</f>
        <v>0</v>
      </c>
      <c r="J41" s="283">
        <f>VLOOKUP(C41,'Project Status'!C:X,20,FALSE)</f>
        <v>0</v>
      </c>
    </row>
    <row r="42" spans="1:10" x14ac:dyDescent="0.4">
      <c r="A42" s="95">
        <f t="shared" si="0"/>
        <v>37</v>
      </c>
      <c r="B42" t="str">
        <f>VLOOKUP(C42,'Project Status'!C:K,8,FALSE)</f>
        <v>Complete</v>
      </c>
      <c r="C42" s="54">
        <v>20832</v>
      </c>
      <c r="D42" s="25" t="str">
        <f>VLOOKUP(C42,'Project Status'!C:G,5,FALSE)</f>
        <v>Arts &amp; Science</v>
      </c>
      <c r="E42" t="str">
        <f>VLOOKUP(C42,'Project Status'!C:I,7,FALSE)</f>
        <v>Wilson Hall - HVAC Replacement</v>
      </c>
      <c r="F42" s="243">
        <f>VLOOKUP(C42,'Project Status'!C:M,11,FALSE)</f>
        <v>24000</v>
      </c>
      <c r="G42" s="244">
        <f>VLOOKUP(C42,'Project Status'!C:S,17,FALSE)</f>
        <v>0</v>
      </c>
      <c r="H42" s="245">
        <f>VLOOKUP(C42,'Project Status'!C:T,18,FALSE)</f>
        <v>24000</v>
      </c>
      <c r="I42" s="249">
        <f>VLOOKUP(C42,'Project Status'!C:U,19,FALSE)</f>
        <v>0</v>
      </c>
      <c r="J42" s="283">
        <f>VLOOKUP(C42,'Project Status'!C:X,20,FALSE)</f>
        <v>0</v>
      </c>
    </row>
    <row r="43" spans="1:10" x14ac:dyDescent="0.4">
      <c r="A43" s="95">
        <f t="shared" si="0"/>
        <v>38</v>
      </c>
      <c r="B43" t="str">
        <f>VLOOKUP(C43,'Project Status'!C:K,8,FALSE)</f>
        <v>Complete</v>
      </c>
      <c r="C43" s="54">
        <v>20833</v>
      </c>
      <c r="D43" s="25" t="str">
        <f>VLOOKUP(C43,'Project Status'!C:G,5,FALSE)</f>
        <v>Arts &amp; Science</v>
      </c>
      <c r="E43" t="str">
        <f>VLOOKUP(C43,'Project Status'!C:I,7,FALSE)</f>
        <v>SC5 - HVAC Replacement (Design Services)</v>
      </c>
      <c r="F43" s="243">
        <f>VLOOKUP(C43,'Project Status'!C:M,11,FALSE)</f>
        <v>24000</v>
      </c>
      <c r="G43" s="244">
        <f>VLOOKUP(C43,'Project Status'!C:S,17,FALSE)</f>
        <v>0</v>
      </c>
      <c r="H43" s="245">
        <f>VLOOKUP(C43,'Project Status'!C:T,18,FALSE)</f>
        <v>24000</v>
      </c>
      <c r="I43" s="249">
        <f>VLOOKUP(C43,'Project Status'!C:U,19,FALSE)</f>
        <v>0</v>
      </c>
      <c r="J43" s="283">
        <f>VLOOKUP(C43,'Project Status'!C:X,20,FALSE)</f>
        <v>0</v>
      </c>
    </row>
    <row r="44" spans="1:10" x14ac:dyDescent="0.4">
      <c r="A44" s="95">
        <f t="shared" si="0"/>
        <v>39</v>
      </c>
      <c r="B44" t="str">
        <f>VLOOKUP(C44,'Project Status'!C:K,8,FALSE)</f>
        <v>Active</v>
      </c>
      <c r="C44" s="54">
        <v>20857</v>
      </c>
      <c r="D44" s="25" t="str">
        <f>VLOOKUP(C44,'Project Status'!C:G,5,FALSE)</f>
        <v>Peabody</v>
      </c>
      <c r="E44" t="str">
        <f>VLOOKUP(C44,'Project Status'!C:I,7,FALSE)</f>
        <v>One Magnolia Circle - Elevator Modernization</v>
      </c>
      <c r="F44" s="243">
        <f>VLOOKUP(C44,'Project Status'!C:M,11,FALSE)</f>
        <v>499184</v>
      </c>
      <c r="G44" s="244">
        <f>VLOOKUP(C44,'Project Status'!C:S,17,FALSE)</f>
        <v>0</v>
      </c>
      <c r="H44" s="245">
        <f>VLOOKUP(C44,'Project Status'!C:T,18,FALSE)</f>
        <v>499184</v>
      </c>
      <c r="I44" s="249">
        <f>VLOOKUP(C44,'Project Status'!C:U,19,FALSE)</f>
        <v>0</v>
      </c>
      <c r="J44" s="283">
        <f>VLOOKUP(C44,'Project Status'!C:X,20,FALSE)</f>
        <v>0</v>
      </c>
    </row>
    <row r="45" spans="1:10" x14ac:dyDescent="0.4">
      <c r="A45" s="95">
        <f t="shared" si="0"/>
        <v>40</v>
      </c>
      <c r="B45" t="str">
        <f>VLOOKUP(C45,'Project Status'!C:K,8,FALSE)</f>
        <v>Active</v>
      </c>
      <c r="C45" s="54">
        <v>20884</v>
      </c>
      <c r="D45" s="25" t="str">
        <f>VLOOKUP(C45,'Project Status'!C:G,5,FALSE)</f>
        <v>Law</v>
      </c>
      <c r="E45" t="str">
        <f>VLOOKUP(C45,'Project Status'!C:I,7,FALSE)</f>
        <v>Law School - Exterior Window Painting</v>
      </c>
      <c r="F45" s="243">
        <f>VLOOKUP(C45,'Project Status'!C:M,11,FALSE)</f>
        <v>675650</v>
      </c>
      <c r="G45" s="244">
        <f>VLOOKUP(C45,'Project Status'!C:S,17,FALSE)</f>
        <v>0</v>
      </c>
      <c r="H45" s="245">
        <f>VLOOKUP(C45,'Project Status'!C:T,18,FALSE)</f>
        <v>675650</v>
      </c>
      <c r="I45" s="249">
        <f>VLOOKUP(C45,'Project Status'!C:U,19,FALSE)</f>
        <v>0</v>
      </c>
      <c r="J45" s="283">
        <f>VLOOKUP(C45,'Project Status'!C:X,20,FALSE)</f>
        <v>0</v>
      </c>
    </row>
    <row r="46" spans="1:10" x14ac:dyDescent="0.4">
      <c r="A46" s="95">
        <f t="shared" si="0"/>
        <v>41</v>
      </c>
      <c r="B46" t="str">
        <f>VLOOKUP(C46,'Project Status'!C:K,8,FALSE)</f>
        <v>Active</v>
      </c>
      <c r="C46" s="54">
        <v>20885</v>
      </c>
      <c r="D46" s="25" t="str">
        <f>VLOOKUP(C46,'Project Status'!C:G,5,FALSE)</f>
        <v>Arts &amp; Science</v>
      </c>
      <c r="E46" t="str">
        <f>VLOOKUP(C46,'Project Status'!C:I,7,FALSE)</f>
        <v>NMR - Replace Air Compressors</v>
      </c>
      <c r="F46" s="243">
        <f>VLOOKUP(C46,'Project Status'!C:M,11,FALSE)</f>
        <v>130000</v>
      </c>
      <c r="G46" s="244">
        <f>VLOOKUP(C46,'Project Status'!C:S,17,FALSE)</f>
        <v>0</v>
      </c>
      <c r="H46" s="245">
        <f>VLOOKUP(C46,'Project Status'!C:T,18,FALSE)</f>
        <v>113053.4</v>
      </c>
      <c r="I46" s="249">
        <f>VLOOKUP(C46,'Project Status'!C:U,19,FALSE)</f>
        <v>30000</v>
      </c>
      <c r="J46" s="283">
        <f>VLOOKUP(C46,'Project Status'!C:X,20,FALSE)</f>
        <v>0</v>
      </c>
    </row>
    <row r="47" spans="1:10" x14ac:dyDescent="0.4">
      <c r="A47" s="95">
        <f t="shared" si="0"/>
        <v>42</v>
      </c>
      <c r="B47" t="str">
        <f>VLOOKUP(C47,'Project Status'!C:K,8,FALSE)</f>
        <v>Complete</v>
      </c>
      <c r="C47" s="54">
        <v>20911</v>
      </c>
      <c r="D47" s="25" t="str">
        <f>VLOOKUP(C47,'Project Status'!C:G,5,FALSE)</f>
        <v>Arts &amp; Science</v>
      </c>
      <c r="E47" t="str">
        <f>VLOOKUP(C47,'Project Status'!C:I,7,FALSE)</f>
        <v>Buttrick Hall - Elevator Upgrades</v>
      </c>
      <c r="F47" s="243">
        <f>VLOOKUP(C47,'Project Status'!C:M,11,FALSE)</f>
        <v>61045</v>
      </c>
      <c r="G47" s="244">
        <f>VLOOKUP(C47,'Project Status'!C:S,17,FALSE)</f>
        <v>0</v>
      </c>
      <c r="H47" s="245">
        <f>VLOOKUP(C47,'Project Status'!C:T,18,FALSE)</f>
        <v>61045</v>
      </c>
      <c r="I47" s="249">
        <f>VLOOKUP(C47,'Project Status'!C:U,19,FALSE)</f>
        <v>0</v>
      </c>
      <c r="J47" s="283">
        <f>VLOOKUP(C47,'Project Status'!C:X,20,FALSE)</f>
        <v>0</v>
      </c>
    </row>
    <row r="48" spans="1:10" x14ac:dyDescent="0.4">
      <c r="A48" s="95">
        <f t="shared" si="0"/>
        <v>43</v>
      </c>
      <c r="B48" t="str">
        <f>VLOOKUP(C48,'Project Status'!C:K,8,FALSE)</f>
        <v>Active</v>
      </c>
      <c r="C48" s="54">
        <v>20912</v>
      </c>
      <c r="D48" s="25" t="str">
        <f>VLOOKUP(C48,'Project Status'!C:G,5,FALSE)</f>
        <v>Arts &amp; Science</v>
      </c>
      <c r="E48" t="str">
        <f>VLOOKUP(C48,'Project Status'!C:I,7,FALSE)</f>
        <v>Benson Hall - Elevator Upgrades</v>
      </c>
      <c r="F48" s="243">
        <f>VLOOKUP(C48,'Project Status'!C:M,11,FALSE)</f>
        <v>59798</v>
      </c>
      <c r="G48" s="244">
        <f>VLOOKUP(C48,'Project Status'!C:S,17,FALSE)</f>
        <v>0</v>
      </c>
      <c r="H48" s="245">
        <f>VLOOKUP(C48,'Project Status'!C:T,18,FALSE)</f>
        <v>59798</v>
      </c>
      <c r="I48" s="249">
        <f>VLOOKUP(C48,'Project Status'!C:U,19,FALSE)</f>
        <v>0</v>
      </c>
      <c r="J48" s="283">
        <f>VLOOKUP(C48,'Project Status'!C:X,20,FALSE)</f>
        <v>0</v>
      </c>
    </row>
    <row r="49" spans="1:10" x14ac:dyDescent="0.4">
      <c r="A49" s="95">
        <f t="shared" si="0"/>
        <v>44</v>
      </c>
      <c r="B49" t="str">
        <f>VLOOKUP(C49,'Project Status'!C:K,8,FALSE)</f>
        <v>Active</v>
      </c>
      <c r="C49" s="54">
        <v>20913</v>
      </c>
      <c r="D49" s="25" t="str">
        <f>VLOOKUP(C49,'Project Status'!C:G,5,FALSE)</f>
        <v>Arts &amp; Science</v>
      </c>
      <c r="E49" t="str">
        <f>VLOOKUP(C49,'Project Status'!C:I,7,FALSE)</f>
        <v>Wilson Hall - Elevator Upgrades</v>
      </c>
      <c r="F49" s="243">
        <f>VLOOKUP(C49,'Project Status'!C:M,11,FALSE)</f>
        <v>96612</v>
      </c>
      <c r="G49" s="244">
        <f>VLOOKUP(C49,'Project Status'!C:S,17,FALSE)</f>
        <v>0</v>
      </c>
      <c r="H49" s="245">
        <f>VLOOKUP(C49,'Project Status'!C:T,18,FALSE)</f>
        <v>96612</v>
      </c>
      <c r="I49" s="249">
        <f>VLOOKUP(C49,'Project Status'!C:U,19,FALSE)</f>
        <v>0</v>
      </c>
      <c r="J49" s="283">
        <f>VLOOKUP(C49,'Project Status'!C:X,20,FALSE)</f>
        <v>0</v>
      </c>
    </row>
    <row r="50" spans="1:10" x14ac:dyDescent="0.4">
      <c r="A50" s="95">
        <f t="shared" si="0"/>
        <v>45</v>
      </c>
      <c r="B50" t="str">
        <f>VLOOKUP(C50,'Project Status'!C:K,8,FALSE)</f>
        <v>Active</v>
      </c>
      <c r="C50" s="54">
        <v>20922</v>
      </c>
      <c r="D50" s="25" t="str">
        <f>VLOOKUP(C50,'Project Status'!C:G,5,FALSE)</f>
        <v>Arts &amp; Science</v>
      </c>
      <c r="E50" t="str">
        <f>VLOOKUP(C50,'Project Status'!C:I,7,FALSE)</f>
        <v>Vaughn Home - Exterior Improvements</v>
      </c>
      <c r="F50" s="243">
        <f>VLOOKUP(C50,'Project Status'!C:M,11,FALSE)</f>
        <v>170000</v>
      </c>
      <c r="G50" s="244">
        <f>VLOOKUP(C50,'Project Status'!C:S,17,FALSE)</f>
        <v>0</v>
      </c>
      <c r="H50" s="245">
        <f>VLOOKUP(C50,'Project Status'!C:T,18,FALSE)</f>
        <v>197150</v>
      </c>
      <c r="I50" s="249">
        <f>VLOOKUP(C50,'Project Status'!C:U,19,FALSE)</f>
        <v>0</v>
      </c>
      <c r="J50" s="283">
        <f>VLOOKUP(C50,'Project Status'!C:X,20,FALSE)</f>
        <v>0</v>
      </c>
    </row>
    <row r="51" spans="1:10" x14ac:dyDescent="0.4">
      <c r="A51" s="95">
        <f t="shared" si="0"/>
        <v>46</v>
      </c>
      <c r="B51" t="str">
        <f>VLOOKUP(C51,'Project Status'!C:K,8,FALSE)</f>
        <v>Complete</v>
      </c>
      <c r="C51" s="54">
        <v>20924</v>
      </c>
      <c r="D51" s="25" t="str">
        <f>VLOOKUP(C51,'Project Status'!C:G,5,FALSE)</f>
        <v>Nursing</v>
      </c>
      <c r="E51" t="str">
        <f>VLOOKUP(C51,'Project Status'!C:I,7,FALSE)</f>
        <v>Frist Hall - Stairwell Roof Replacement</v>
      </c>
      <c r="F51" s="243">
        <f>VLOOKUP(C51,'Project Status'!C:M,11,FALSE)</f>
        <v>30570</v>
      </c>
      <c r="G51" s="244">
        <f>VLOOKUP(C51,'Project Status'!C:S,17,FALSE)</f>
        <v>0</v>
      </c>
      <c r="H51" s="245">
        <f>VLOOKUP(C51,'Project Status'!C:T,18,FALSE)</f>
        <v>30570</v>
      </c>
      <c r="I51" s="249">
        <f>VLOOKUP(C51,'Project Status'!C:U,19,FALSE)</f>
        <v>-6070</v>
      </c>
      <c r="J51" s="283">
        <f>VLOOKUP(C51,'Project Status'!C:X,20,FALSE)</f>
        <v>0</v>
      </c>
    </row>
    <row r="52" spans="1:10" x14ac:dyDescent="0.4">
      <c r="A52" s="95">
        <f t="shared" si="0"/>
        <v>47</v>
      </c>
      <c r="B52" t="str">
        <f>VLOOKUP(C52,'Project Status'!C:K,8,FALSE)</f>
        <v>Active</v>
      </c>
      <c r="C52" s="54">
        <v>20925</v>
      </c>
      <c r="D52" s="25" t="str">
        <f>VLOOKUP(C52,'Project Status'!C:G,5,FALSE)</f>
        <v>Blair</v>
      </c>
      <c r="E52" t="str">
        <f>VLOOKUP(C52,'Project Status'!C:I,7,FALSE)</f>
        <v>Blair School of Music - AHU 2/3 Replacement  - Phase 2 - FY26</v>
      </c>
      <c r="F52" s="243">
        <f>VLOOKUP(C52,'Project Status'!C:M,11,FALSE)</f>
        <v>2125000</v>
      </c>
      <c r="G52" s="244">
        <f>VLOOKUP(C52,'Project Status'!C:S,17,FALSE)</f>
        <v>0</v>
      </c>
      <c r="H52" s="245">
        <f>VLOOKUP(C52,'Project Status'!C:T,18,FALSE)</f>
        <v>0</v>
      </c>
      <c r="I52" s="249">
        <f>VLOOKUP(C52,'Project Status'!C:U,19,FALSE)</f>
        <v>409000</v>
      </c>
      <c r="J52" s="283">
        <f>VLOOKUP(C52,'Project Status'!C:X,20,FALSE)</f>
        <v>1716000</v>
      </c>
    </row>
    <row r="53" spans="1:10" x14ac:dyDescent="0.4">
      <c r="A53" s="95">
        <f t="shared" si="0"/>
        <v>48</v>
      </c>
      <c r="B53" t="str">
        <f>VLOOKUP(C53,'Project Status'!C:K,8,FALSE)</f>
        <v>Active</v>
      </c>
      <c r="C53" s="54">
        <v>20936</v>
      </c>
      <c r="D53" s="25" t="str">
        <f>VLOOKUP(C53,'Project Status'!C:G,5,FALSE)</f>
        <v>Arts &amp; Science</v>
      </c>
      <c r="E53" t="str">
        <f>VLOOKUP(C53,'Project Status'!C:I,7,FALSE)</f>
        <v>Wilson Hall - Lighting Retrofit for 103 and 126</v>
      </c>
      <c r="F53" s="243">
        <f>VLOOKUP(C53,'Project Status'!C:M,11,FALSE)</f>
        <v>405000</v>
      </c>
      <c r="G53" s="244">
        <f>VLOOKUP(C53,'Project Status'!C:S,17,FALSE)</f>
        <v>0</v>
      </c>
      <c r="H53" s="245">
        <f>VLOOKUP(C53,'Project Status'!C:T,18,FALSE)</f>
        <v>404655.91</v>
      </c>
      <c r="I53" s="249">
        <f>VLOOKUP(C53,'Project Status'!C:U,19,FALSE)</f>
        <v>0</v>
      </c>
      <c r="J53" s="283">
        <f>VLOOKUP(C53,'Project Status'!C:X,20,FALSE)</f>
        <v>0</v>
      </c>
    </row>
    <row r="54" spans="1:10" x14ac:dyDescent="0.4">
      <c r="A54" s="95">
        <f t="shared" si="0"/>
        <v>49</v>
      </c>
      <c r="B54" t="str">
        <f>VLOOKUP(C54,'Project Status'!C:K,8,FALSE)</f>
        <v>Active</v>
      </c>
      <c r="C54" s="54">
        <v>20940</v>
      </c>
      <c r="D54" s="25" t="str">
        <f>VLOOKUP(C54,'Project Status'!C:G,5,FALSE)</f>
        <v>Engineering</v>
      </c>
      <c r="E54" t="str">
        <f>VLOOKUP(C54,'Project Status'!C:I,7,FALSE)</f>
        <v>1025 16th Avenue - Security System Replacement</v>
      </c>
      <c r="F54" s="243">
        <f>VLOOKUP(C54,'Project Status'!C:M,11,FALSE)</f>
        <v>310000</v>
      </c>
      <c r="G54" s="244">
        <f>VLOOKUP(C54,'Project Status'!C:S,17,FALSE)</f>
        <v>0</v>
      </c>
      <c r="H54" s="245">
        <f>VLOOKUP(C54,'Project Status'!C:T,18,FALSE)</f>
        <v>0</v>
      </c>
      <c r="I54" s="249">
        <f>VLOOKUP(C54,'Project Status'!C:U,19,FALSE)</f>
        <v>309548.64</v>
      </c>
      <c r="J54" s="283">
        <f>VLOOKUP(C54,'Project Status'!C:X,20,FALSE)</f>
        <v>0</v>
      </c>
    </row>
    <row r="55" spans="1:10" x14ac:dyDescent="0.4">
      <c r="A55" s="95">
        <f t="shared" si="0"/>
        <v>50</v>
      </c>
      <c r="B55" t="str">
        <f>VLOOKUP(C55,'Project Status'!C:K,8,FALSE)</f>
        <v>Active</v>
      </c>
      <c r="C55" s="54">
        <v>20945</v>
      </c>
      <c r="D55" s="25" t="str">
        <f>VLOOKUP(C55,'Project Status'!C:G,5,FALSE)</f>
        <v>Other</v>
      </c>
      <c r="E55" t="str">
        <f>VLOOKUP(C55,'Project Status'!C:I,7,FALSE)</f>
        <v>Seigenthaler Building - HVAC Improvements</v>
      </c>
      <c r="F55" s="243">
        <f>VLOOKUP(C55,'Project Status'!C:M,11,FALSE)</f>
        <v>99000</v>
      </c>
      <c r="G55" s="244">
        <f>VLOOKUP(C55,'Project Status'!C:S,17,FALSE)</f>
        <v>0</v>
      </c>
      <c r="H55" s="245">
        <f>VLOOKUP(C55,'Project Status'!C:T,18,FALSE)</f>
        <v>99000</v>
      </c>
      <c r="I55" s="249">
        <f>VLOOKUP(C55,'Project Status'!C:U,19,FALSE)</f>
        <v>0</v>
      </c>
      <c r="J55" s="283">
        <f>VLOOKUP(C55,'Project Status'!C:X,20,FALSE)</f>
        <v>0</v>
      </c>
    </row>
    <row r="56" spans="1:10" x14ac:dyDescent="0.4">
      <c r="A56" s="95">
        <f t="shared" si="0"/>
        <v>51</v>
      </c>
      <c r="B56" t="str">
        <f>VLOOKUP(C56,'Project Status'!C:K,8,FALSE)</f>
        <v>Active</v>
      </c>
      <c r="C56" s="54">
        <v>20958</v>
      </c>
      <c r="D56" s="25" t="str">
        <f>VLOOKUP(C56,'Project Status'!C:G,5,FALSE)</f>
        <v>Arts &amp; Science</v>
      </c>
      <c r="E56" t="str">
        <f>VLOOKUP(C56,'Project Status'!C:I,7,FALSE)</f>
        <v>Furman Hall - Elevator Modernization</v>
      </c>
      <c r="F56" s="243">
        <f>VLOOKUP(C56,'Project Status'!C:M,11,FALSE)</f>
        <v>290000</v>
      </c>
      <c r="G56" s="244">
        <f>VLOOKUP(C56,'Project Status'!C:S,17,FALSE)</f>
        <v>0</v>
      </c>
      <c r="H56" s="245">
        <f>VLOOKUP(C56,'Project Status'!C:T,18,FALSE)</f>
        <v>18175</v>
      </c>
      <c r="I56" s="249">
        <f>VLOOKUP(C56,'Project Status'!C:U,19,FALSE)</f>
        <v>243454</v>
      </c>
      <c r="J56" s="283">
        <f>VLOOKUP(C56,'Project Status'!C:X,20,FALSE)</f>
        <v>0</v>
      </c>
    </row>
    <row r="57" spans="1:10" x14ac:dyDescent="0.4">
      <c r="A57" s="95">
        <f t="shared" si="0"/>
        <v>52</v>
      </c>
      <c r="B57" t="str">
        <f>VLOOKUP(C57,'Project Status'!C:K,8,FALSE)</f>
        <v>Active</v>
      </c>
      <c r="C57" s="54">
        <v>20962</v>
      </c>
      <c r="D57" s="25" t="str">
        <f>VLOOKUP(C57,'Project Status'!C:G,5,FALSE)</f>
        <v>Arts &amp; Science</v>
      </c>
      <c r="E57" t="str">
        <f>VLOOKUP(C57,'Project Status'!C:I,7,FALSE)</f>
        <v>Vaughn Home - Roof Replacement</v>
      </c>
      <c r="F57" s="243">
        <f>VLOOKUP(C57,'Project Status'!C:M,11,FALSE)</f>
        <v>1750000</v>
      </c>
      <c r="G57" s="244">
        <f>VLOOKUP(C57,'Project Status'!C:S,17,FALSE)</f>
        <v>0</v>
      </c>
      <c r="H57" s="245">
        <f>VLOOKUP(C57,'Project Status'!C:T,18,FALSE)</f>
        <v>0</v>
      </c>
      <c r="I57" s="249">
        <f>VLOOKUP(C57,'Project Status'!C:U,19,FALSE)</f>
        <v>1800</v>
      </c>
      <c r="J57" s="283">
        <f>VLOOKUP(C57,'Project Status'!C:X,20,FALSE)</f>
        <v>0</v>
      </c>
    </row>
    <row r="58" spans="1:10" x14ac:dyDescent="0.4">
      <c r="A58" s="95">
        <f t="shared" si="0"/>
        <v>53</v>
      </c>
      <c r="B58" t="str">
        <f>VLOOKUP(C58,'Project Status'!C:K,8,FALSE)</f>
        <v>Active</v>
      </c>
      <c r="C58" s="54">
        <v>20979</v>
      </c>
      <c r="D58" s="25" t="str">
        <f>VLOOKUP(C58,'Project Status'!C:G,5,FALSE)</f>
        <v>Engineering</v>
      </c>
      <c r="E58" t="str">
        <f>VLOOKUP(C58,'Project Status'!C:I,7,FALSE)</f>
        <v>1025 16th Avenue - Roof Replacement</v>
      </c>
      <c r="F58" s="243">
        <f>VLOOKUP(C58,'Project Status'!C:M,11,FALSE)</f>
        <v>270000</v>
      </c>
      <c r="G58" s="244">
        <f>VLOOKUP(C58,'Project Status'!C:S,17,FALSE)</f>
        <v>0</v>
      </c>
      <c r="H58" s="245">
        <f>VLOOKUP(C58,'Project Status'!C:T,18,FALSE)</f>
        <v>0</v>
      </c>
      <c r="I58" s="249">
        <f>VLOOKUP(C58,'Project Status'!C:U,19,FALSE)</f>
        <v>529750</v>
      </c>
      <c r="J58" s="283">
        <f>VLOOKUP(C58,'Project Status'!C:X,20,FALSE)</f>
        <v>0</v>
      </c>
    </row>
    <row r="59" spans="1:10" x14ac:dyDescent="0.4">
      <c r="A59" s="95">
        <f t="shared" si="0"/>
        <v>54</v>
      </c>
      <c r="B59" t="str">
        <f>VLOOKUP(C59,'Project Status'!C:K,8,FALSE)</f>
        <v>Active</v>
      </c>
      <c r="C59" s="54">
        <v>20982</v>
      </c>
      <c r="D59" s="25" t="str">
        <f>VLOOKUP(C59,'Project Status'!C:G,5,FALSE)</f>
        <v>Law</v>
      </c>
      <c r="E59" t="str">
        <f>VLOOKUP(C59,'Project Status'!C:I,7,FALSE)</f>
        <v>Law School - Elevator 1 Modernization</v>
      </c>
      <c r="F59" s="243">
        <f>VLOOKUP(C59,'Project Status'!C:M,11,FALSE)</f>
        <v>272000</v>
      </c>
      <c r="G59" s="244">
        <f>VLOOKUP(C59,'Project Status'!C:S,17,FALSE)</f>
        <v>0</v>
      </c>
      <c r="H59" s="245">
        <f>VLOOKUP(C59,'Project Status'!C:T,18,FALSE)</f>
        <v>18175</v>
      </c>
      <c r="I59" s="249">
        <f>VLOOKUP(C59,'Project Status'!C:U,19,FALSE)</f>
        <v>253825</v>
      </c>
      <c r="J59" s="283">
        <f>VLOOKUP(C59,'Project Status'!C:X,20,FALSE)</f>
        <v>0</v>
      </c>
    </row>
    <row r="60" spans="1:10" x14ac:dyDescent="0.4">
      <c r="A60" s="95">
        <f t="shared" si="0"/>
        <v>55</v>
      </c>
      <c r="B60" t="str">
        <f>VLOOKUP(C60,'Project Status'!C:K,8,FALSE)</f>
        <v>Active</v>
      </c>
      <c r="C60" s="54">
        <v>20984</v>
      </c>
      <c r="D60" s="25" t="str">
        <f>VLOOKUP(C60,'Project Status'!C:G,5,FALSE)</f>
        <v>Arts &amp; Science</v>
      </c>
      <c r="E60" t="str">
        <f>VLOOKUP(C60,'Project Status'!C:I,7,FALSE)</f>
        <v>Wilson Hall - 1st Floor Urinal Replacement</v>
      </c>
      <c r="F60" s="243">
        <f>VLOOKUP(C60,'Project Status'!C:M,11,FALSE)</f>
        <v>167000</v>
      </c>
      <c r="G60" s="244">
        <f>VLOOKUP(C60,'Project Status'!C:S,17,FALSE)</f>
        <v>0</v>
      </c>
      <c r="H60" s="245">
        <f>VLOOKUP(C60,'Project Status'!C:T,18,FALSE)</f>
        <v>0</v>
      </c>
      <c r="I60" s="249">
        <f>VLOOKUP(C60,'Project Status'!C:U,19,FALSE)</f>
        <v>167000</v>
      </c>
      <c r="J60" s="283">
        <f>VLOOKUP(C60,'Project Status'!C:X,20,FALSE)</f>
        <v>0</v>
      </c>
    </row>
    <row r="61" spans="1:10" x14ac:dyDescent="0.4">
      <c r="A61" s="95">
        <f t="shared" si="0"/>
        <v>56</v>
      </c>
      <c r="B61" t="str">
        <f>VLOOKUP(C61,'Project Status'!C:K,8,FALSE)</f>
        <v>Active</v>
      </c>
      <c r="C61" s="54">
        <v>21004</v>
      </c>
      <c r="D61" s="25" t="str">
        <f>VLOOKUP(C61,'Project Status'!C:G,5,FALSE)</f>
        <v>Arts &amp; Science</v>
      </c>
      <c r="E61" t="str">
        <f>VLOOKUP(C61,'Project Status'!C:I,7,FALSE)</f>
        <v>SC5 - HVAC Upgrade Floors 1 and 2 (Phase 1)</v>
      </c>
      <c r="F61" s="243">
        <f>VLOOKUP(C61,'Project Status'!C:M,11,FALSE)</f>
        <v>940000</v>
      </c>
      <c r="G61" s="244">
        <f>VLOOKUP(C61,'Project Status'!C:S,17,FALSE)</f>
        <v>0</v>
      </c>
      <c r="H61" s="245">
        <f>VLOOKUP(C61,'Project Status'!C:T,18,FALSE)</f>
        <v>0</v>
      </c>
      <c r="I61" s="249">
        <f>VLOOKUP(C61,'Project Status'!C:U,19,FALSE)</f>
        <v>992453</v>
      </c>
      <c r="J61" s="283">
        <f>VLOOKUP(C61,'Project Status'!C:X,20,FALSE)</f>
        <v>0</v>
      </c>
    </row>
    <row r="62" spans="1:10" x14ac:dyDescent="0.4">
      <c r="A62" s="95">
        <f t="shared" si="0"/>
        <v>57</v>
      </c>
      <c r="B62" t="str">
        <f>VLOOKUP(C62,'Project Status'!C:K,8,FALSE)</f>
        <v>Deferred / On Hold</v>
      </c>
      <c r="C62" s="54">
        <v>21005</v>
      </c>
      <c r="D62" s="25" t="str">
        <f>VLOOKUP(C62,'Project Status'!C:G,5,FALSE)</f>
        <v>Arts &amp; Science</v>
      </c>
      <c r="E62" t="str">
        <f>VLOOKUP(C62,'Project Status'!C:I,7,FALSE)</f>
        <v>SC5 - HVAC Upgrade Floors 4, 5, and 7 (Phase 2)</v>
      </c>
      <c r="F62" s="243">
        <f>VLOOKUP(C62,'Project Status'!C:M,11,FALSE)</f>
        <v>0</v>
      </c>
      <c r="G62" s="244">
        <f>VLOOKUP(C62,'Project Status'!C:S,17,FALSE)</f>
        <v>0</v>
      </c>
      <c r="H62" s="245">
        <f>VLOOKUP(C62,'Project Status'!C:T,18,FALSE)</f>
        <v>0</v>
      </c>
      <c r="I62" s="249">
        <f>VLOOKUP(C62,'Project Status'!C:U,19,FALSE)</f>
        <v>0</v>
      </c>
      <c r="J62" s="283">
        <f>VLOOKUP(C62,'Project Status'!C:X,20,FALSE)</f>
        <v>0</v>
      </c>
    </row>
    <row r="63" spans="1:10" x14ac:dyDescent="0.4">
      <c r="A63" s="95">
        <f t="shared" si="0"/>
        <v>58</v>
      </c>
      <c r="B63" t="str">
        <f>VLOOKUP(C63,'Project Status'!C:K,8,FALSE)</f>
        <v>Deferred / On Hold</v>
      </c>
      <c r="C63" s="54">
        <v>21006</v>
      </c>
      <c r="D63" s="25" t="str">
        <f>VLOOKUP(C63,'Project Status'!C:G,5,FALSE)</f>
        <v>Engineering</v>
      </c>
      <c r="E63" t="str">
        <f>VLOOKUP(C63,'Project Status'!C:I,7,FALSE)</f>
        <v>SC5 - HVAC Upgrade Floors 3 and 6 (Phase 3)</v>
      </c>
      <c r="F63" s="243">
        <f>VLOOKUP(C63,'Project Status'!C:M,11,FALSE)</f>
        <v>0</v>
      </c>
      <c r="G63" s="244">
        <f>VLOOKUP(C63,'Project Status'!C:S,17,FALSE)</f>
        <v>0</v>
      </c>
      <c r="H63" s="245">
        <f>VLOOKUP(C63,'Project Status'!C:T,18,FALSE)</f>
        <v>0</v>
      </c>
      <c r="I63" s="249">
        <f>VLOOKUP(C63,'Project Status'!C:U,19,FALSE)</f>
        <v>0</v>
      </c>
      <c r="J63" s="283">
        <f>VLOOKUP(C63,'Project Status'!C:X,20,FALSE)</f>
        <v>0</v>
      </c>
    </row>
    <row r="64" spans="1:10" x14ac:dyDescent="0.4">
      <c r="A64" s="95">
        <f t="shared" si="0"/>
        <v>59</v>
      </c>
      <c r="B64" t="str">
        <f>VLOOKUP(C64,'Project Status'!C:K,8,FALSE)</f>
        <v>Deferred / On Hold</v>
      </c>
      <c r="C64" s="54">
        <v>21007</v>
      </c>
      <c r="D64" s="25" t="str">
        <f>VLOOKUP(C64,'Project Status'!C:G,5,FALSE)</f>
        <v>Engineering</v>
      </c>
      <c r="E64" t="str">
        <f>VLOOKUP(C64,'Project Status'!C:I,7,FALSE)</f>
        <v>SC5 - HVAC Upgrade Floors 8 and 9 (Phase 4)</v>
      </c>
      <c r="F64" s="243">
        <f>VLOOKUP(C64,'Project Status'!C:M,11,FALSE)</f>
        <v>0</v>
      </c>
      <c r="G64" s="244">
        <f>VLOOKUP(C64,'Project Status'!C:S,17,FALSE)</f>
        <v>0</v>
      </c>
      <c r="H64" s="245">
        <f>VLOOKUP(C64,'Project Status'!C:T,18,FALSE)</f>
        <v>0</v>
      </c>
      <c r="I64" s="249">
        <f>VLOOKUP(C64,'Project Status'!C:U,19,FALSE)</f>
        <v>0</v>
      </c>
      <c r="J64" s="283">
        <f>VLOOKUP(C64,'Project Status'!C:X,20,FALSE)</f>
        <v>0</v>
      </c>
    </row>
    <row r="65" spans="1:10" x14ac:dyDescent="0.4">
      <c r="A65" s="95">
        <f t="shared" si="0"/>
        <v>60</v>
      </c>
      <c r="B65" t="str">
        <f>VLOOKUP(C65,'Project Status'!C:K,8,FALSE)</f>
        <v>Active</v>
      </c>
      <c r="C65" s="54">
        <v>21010</v>
      </c>
      <c r="D65" s="25" t="str">
        <f>VLOOKUP(C65,'Project Status'!C:G,5,FALSE)</f>
        <v>Engineering</v>
      </c>
      <c r="E65" t="str">
        <f>VLOOKUP(C65,'Project Status'!C:I,7,FALSE)</f>
        <v>Featheringill-Jacobs Hall - Hot Water Tank Replacement</v>
      </c>
      <c r="F65" s="243">
        <f>VLOOKUP(C65,'Project Status'!C:M,11,FALSE)</f>
        <v>125000</v>
      </c>
      <c r="G65" s="244">
        <f>VLOOKUP(C65,'Project Status'!C:S,17,FALSE)</f>
        <v>0</v>
      </c>
      <c r="H65" s="245">
        <f>VLOOKUP(C65,'Project Status'!C:T,18,FALSE)</f>
        <v>0</v>
      </c>
      <c r="I65" s="249">
        <f>VLOOKUP(C65,'Project Status'!C:U,19,FALSE)</f>
        <v>126024</v>
      </c>
      <c r="J65" s="283">
        <f>VLOOKUP(C65,'Project Status'!C:X,20,FALSE)</f>
        <v>0</v>
      </c>
    </row>
    <row r="66" spans="1:10" x14ac:dyDescent="0.4">
      <c r="A66" s="95">
        <f t="shared" si="0"/>
        <v>61</v>
      </c>
      <c r="B66" t="str">
        <f>VLOOKUP(C66,'Project Status'!C:K,8,FALSE)</f>
        <v>Active</v>
      </c>
      <c r="C66" s="54">
        <v>21035</v>
      </c>
      <c r="D66" s="25" t="str">
        <f>VLOOKUP(C66,'Project Status'!C:G,5,FALSE)</f>
        <v>Law</v>
      </c>
      <c r="E66" t="str">
        <f>VLOOKUP(C66,'Project Status'!C:I,7,FALSE)</f>
        <v>Law School - Roof Ladders</v>
      </c>
      <c r="F66" s="243">
        <f>VLOOKUP(C66,'Project Status'!C:M,11,FALSE)</f>
        <v>50000</v>
      </c>
      <c r="G66" s="244">
        <f>VLOOKUP(C66,'Project Status'!C:S,17,FALSE)</f>
        <v>0</v>
      </c>
      <c r="H66" s="245">
        <f>VLOOKUP(C66,'Project Status'!C:T,18,FALSE)</f>
        <v>0</v>
      </c>
      <c r="I66" s="249">
        <f>VLOOKUP(C66,'Project Status'!C:U,19,FALSE)</f>
        <v>36108.160000000003</v>
      </c>
      <c r="J66" s="283">
        <f>VLOOKUP(C66,'Project Status'!C:X,20,FALSE)</f>
        <v>0</v>
      </c>
    </row>
    <row r="67" spans="1:10" x14ac:dyDescent="0.4">
      <c r="A67" s="95">
        <f t="shared" si="0"/>
        <v>62</v>
      </c>
      <c r="B67" t="str">
        <f>VLOOKUP(C67,'Project Status'!C:K,8,FALSE)</f>
        <v>Deferred / On Hold</v>
      </c>
      <c r="C67" s="54">
        <v>21051</v>
      </c>
      <c r="D67" s="25" t="str">
        <f>VLOOKUP(C67,'Project Status'!C:G,5,FALSE)</f>
        <v>SOM Basic Sciences</v>
      </c>
      <c r="E67" t="str">
        <f>VLOOKUP(C67,'Project Status'!C:I,7,FALSE)</f>
        <v>MRBIII - 5th Floor Controls</v>
      </c>
      <c r="F67" s="243">
        <f>VLOOKUP(C67,'Project Status'!C:M,11,FALSE)</f>
        <v>0</v>
      </c>
      <c r="G67" s="244">
        <f>VLOOKUP(C67,'Project Status'!C:S,17,FALSE)</f>
        <v>0</v>
      </c>
      <c r="H67" s="245">
        <f>VLOOKUP(C67,'Project Status'!C:T,18,FALSE)</f>
        <v>0</v>
      </c>
      <c r="I67" s="249">
        <f>VLOOKUP(C67,'Project Status'!C:U,19,FALSE)</f>
        <v>0</v>
      </c>
      <c r="J67" s="283">
        <f>VLOOKUP(C67,'Project Status'!C:X,20,FALSE)</f>
        <v>0</v>
      </c>
    </row>
    <row r="68" spans="1:10" x14ac:dyDescent="0.4">
      <c r="A68" s="95">
        <f t="shared" si="0"/>
        <v>63</v>
      </c>
      <c r="B68" t="str">
        <f>VLOOKUP(C68,'Project Status'!C:K,8,FALSE)</f>
        <v>Active</v>
      </c>
      <c r="C68" s="54">
        <v>21066</v>
      </c>
      <c r="D68" s="25" t="str">
        <f>VLOOKUP(C68,'Project Status'!C:G,5,FALSE)</f>
        <v>Arts &amp; Science</v>
      </c>
      <c r="E68" t="str">
        <f>VLOOKUP(C68,'Project Status'!C:I,7,FALSE)</f>
        <v>SC2 - MEP Feasibility Study</v>
      </c>
      <c r="F68" s="243">
        <f>VLOOKUP(C68,'Project Status'!C:M,11,FALSE)</f>
        <v>29160</v>
      </c>
      <c r="G68" s="244">
        <f>VLOOKUP(C68,'Project Status'!C:S,17,FALSE)</f>
        <v>0</v>
      </c>
      <c r="H68" s="245">
        <f>VLOOKUP(C68,'Project Status'!C:T,18,FALSE)</f>
        <v>0</v>
      </c>
      <c r="I68" s="249">
        <f>VLOOKUP(C68,'Project Status'!C:U,19,FALSE)</f>
        <v>29160</v>
      </c>
      <c r="J68" s="283">
        <f>VLOOKUP(C68,'Project Status'!C:X,20,FALSE)</f>
        <v>0</v>
      </c>
    </row>
    <row r="69" spans="1:10" x14ac:dyDescent="0.4">
      <c r="A69" s="95">
        <f t="shared" si="0"/>
        <v>64</v>
      </c>
      <c r="B69" t="str">
        <f>VLOOKUP(C69,'Project Status'!C:K,8,FALSE)</f>
        <v>Active</v>
      </c>
      <c r="C69" s="54">
        <v>21067</v>
      </c>
      <c r="D69" s="25" t="str">
        <f>VLOOKUP(C69,'Project Status'!C:G,5,FALSE)</f>
        <v>Nursing</v>
      </c>
      <c r="E69" t="str">
        <f>VLOOKUP(C69,'Project Status'!C:I,7,FALSE)</f>
        <v>Godchaux Hall - Phase 2 HVAC Upgrades and Roof Replacement</v>
      </c>
      <c r="F69" s="243">
        <f>VLOOKUP(C69,'Project Status'!C:M,11,FALSE)</f>
        <v>2500000</v>
      </c>
      <c r="G69" s="244">
        <f>VLOOKUP(C69,'Project Status'!C:S,17,FALSE)</f>
        <v>0</v>
      </c>
      <c r="H69" s="245">
        <f>VLOOKUP(C69,'Project Status'!C:T,18,FALSE)</f>
        <v>0</v>
      </c>
      <c r="I69" s="249">
        <f>VLOOKUP(C69,'Project Status'!C:U,19,FALSE)</f>
        <v>46600</v>
      </c>
      <c r="J69" s="283">
        <f>VLOOKUP(C69,'Project Status'!C:X,20,FALSE)</f>
        <v>0</v>
      </c>
    </row>
    <row r="70" spans="1:10" x14ac:dyDescent="0.4">
      <c r="A70" s="95">
        <f t="shared" si="0"/>
        <v>65</v>
      </c>
      <c r="B70" t="str">
        <f>VLOOKUP(C70,'Project Status'!C:K,8,FALSE)</f>
        <v>Active</v>
      </c>
      <c r="C70" s="54">
        <v>21068</v>
      </c>
      <c r="D70" s="25" t="str">
        <f>VLOOKUP(C70,'Project Status'!C:G,5,FALSE)</f>
        <v>Arts &amp; Science</v>
      </c>
      <c r="E70" t="str">
        <f>VLOOKUP(C70,'Project Status'!C:I,7,FALSE)</f>
        <v>Buttrick Hall - Insulate First Floor Slab</v>
      </c>
      <c r="F70" s="243">
        <f>VLOOKUP(C70,'Project Status'!C:M,11,FALSE)</f>
        <v>0</v>
      </c>
      <c r="G70" s="244">
        <f>VLOOKUP(C70,'Project Status'!C:S,17,FALSE)</f>
        <v>0</v>
      </c>
      <c r="H70" s="245">
        <f>VLOOKUP(C70,'Project Status'!C:T,18,FALSE)</f>
        <v>0</v>
      </c>
      <c r="I70" s="249">
        <f>VLOOKUP(C70,'Project Status'!C:U,19,FALSE)</f>
        <v>34837.4</v>
      </c>
      <c r="J70" s="283">
        <f>VLOOKUP(C70,'Project Status'!C:X,20,FALSE)</f>
        <v>0</v>
      </c>
    </row>
    <row r="71" spans="1:10" x14ac:dyDescent="0.4">
      <c r="A71" s="95">
        <f t="shared" si="0"/>
        <v>66</v>
      </c>
      <c r="B71" t="str">
        <f>VLOOKUP(C71,'Project Status'!C:K,8,FALSE)</f>
        <v>Active</v>
      </c>
      <c r="C71" s="54">
        <v>21070</v>
      </c>
      <c r="D71" s="25" t="str">
        <f>VLOOKUP(C71,'Project Status'!C:G,5,FALSE)</f>
        <v>Engineering</v>
      </c>
      <c r="E71" t="str">
        <f>VLOOKUP(C71,'Project Status'!C:I,7,FALSE)</f>
        <v>Olin Hall - Exterior Facade Cleaning</v>
      </c>
      <c r="F71" s="243">
        <f>VLOOKUP(C71,'Project Status'!C:M,11,FALSE)</f>
        <v>848722</v>
      </c>
      <c r="G71" s="244">
        <f>VLOOKUP(C71,'Project Status'!C:S,17,FALSE)</f>
        <v>0</v>
      </c>
      <c r="H71" s="245">
        <f>VLOOKUP(C71,'Project Status'!C:T,18,FALSE)</f>
        <v>0</v>
      </c>
      <c r="I71" s="249">
        <f>VLOOKUP(C71,'Project Status'!C:U,19,FALSE)</f>
        <v>392042.1</v>
      </c>
      <c r="J71" s="283">
        <f>VLOOKUP(C71,'Project Status'!C:X,20,FALSE)</f>
        <v>0</v>
      </c>
    </row>
    <row r="72" spans="1:10" x14ac:dyDescent="0.4">
      <c r="A72" s="95">
        <f t="shared" ref="A72:A92" si="1">A71+1</f>
        <v>67</v>
      </c>
      <c r="B72" t="str">
        <f>VLOOKUP(C72,'Project Status'!C:K,8,FALSE)</f>
        <v>Active</v>
      </c>
      <c r="C72" s="54">
        <v>21071</v>
      </c>
      <c r="D72" s="25" t="str">
        <f>VLOOKUP(C72,'Project Status'!C:G,5,FALSE)</f>
        <v>Arts &amp; Science</v>
      </c>
      <c r="E72" t="str">
        <f>VLOOKUP(C72,'Project Status'!C:I,7,FALSE)</f>
        <v>SC1 - MEP Feasibility Study</v>
      </c>
      <c r="F72" s="243">
        <f>VLOOKUP(C72,'Project Status'!C:M,11,FALSE)</f>
        <v>19440</v>
      </c>
      <c r="G72" s="244">
        <f>VLOOKUP(C72,'Project Status'!C:S,17,FALSE)</f>
        <v>0</v>
      </c>
      <c r="H72" s="245">
        <f>VLOOKUP(C72,'Project Status'!C:T,18,FALSE)</f>
        <v>0</v>
      </c>
      <c r="I72" s="249">
        <f>VLOOKUP(C72,'Project Status'!C:U,19,FALSE)</f>
        <v>19440</v>
      </c>
      <c r="J72" s="283">
        <f>VLOOKUP(C72,'Project Status'!C:X,20,FALSE)</f>
        <v>0</v>
      </c>
    </row>
    <row r="73" spans="1:10" x14ac:dyDescent="0.4">
      <c r="A73" s="95">
        <f t="shared" si="1"/>
        <v>68</v>
      </c>
      <c r="B73" t="str">
        <f>VLOOKUP(C73,'Project Status'!C:K,8,FALSE)</f>
        <v>Deferred / On Hold</v>
      </c>
      <c r="C73" s="54">
        <v>21072</v>
      </c>
      <c r="D73" s="25" t="str">
        <f>VLOOKUP(C73,'Project Status'!C:G,5,FALSE)</f>
        <v>Arts &amp; Science</v>
      </c>
      <c r="E73" t="str">
        <f>VLOOKUP(C73,'Project Status'!C:I,7,FALSE)</f>
        <v>Calhoun Hall - MEP Feasibility Study</v>
      </c>
      <c r="F73" s="243">
        <f>VLOOKUP(C73,'Project Status'!C:M,11,FALSE)</f>
        <v>10000</v>
      </c>
      <c r="G73" s="244">
        <f>VLOOKUP(C73,'Project Status'!C:S,17,FALSE)</f>
        <v>0</v>
      </c>
      <c r="H73" s="245">
        <f>VLOOKUP(C73,'Project Status'!C:T,18,FALSE)</f>
        <v>0</v>
      </c>
      <c r="I73" s="249">
        <f>VLOOKUP(C73,'Project Status'!C:U,19,FALSE)</f>
        <v>0</v>
      </c>
      <c r="J73" s="283">
        <f>VLOOKUP(C73,'Project Status'!C:X,20,FALSE)</f>
        <v>0</v>
      </c>
    </row>
    <row r="74" spans="1:10" x14ac:dyDescent="0.4">
      <c r="A74" s="95">
        <f t="shared" si="1"/>
        <v>69</v>
      </c>
      <c r="B74" t="str">
        <f>VLOOKUP(C74,'Project Status'!C:K,8,FALSE)</f>
        <v>Deferred / On Hold</v>
      </c>
      <c r="C74" s="54">
        <v>21073</v>
      </c>
      <c r="D74" s="25" t="str">
        <f>VLOOKUP(C74,'Project Status'!C:G,5,FALSE)</f>
        <v>Arts &amp; Science</v>
      </c>
      <c r="E74" t="str">
        <f>VLOOKUP(C74,'Project Status'!C:I,7,FALSE)</f>
        <v>Furman Hall - MEP Feasibility Study</v>
      </c>
      <c r="F74" s="243">
        <f>VLOOKUP(C74,'Project Status'!C:M,11,FALSE)</f>
        <v>10000</v>
      </c>
      <c r="G74" s="244">
        <f>VLOOKUP(C74,'Project Status'!C:S,17,FALSE)</f>
        <v>0</v>
      </c>
      <c r="H74" s="245">
        <f>VLOOKUP(C74,'Project Status'!C:T,18,FALSE)</f>
        <v>0</v>
      </c>
      <c r="I74" s="249">
        <f>VLOOKUP(C74,'Project Status'!C:U,19,FALSE)</f>
        <v>0</v>
      </c>
      <c r="J74" s="283">
        <f>VLOOKUP(C74,'Project Status'!C:X,20,FALSE)</f>
        <v>0</v>
      </c>
    </row>
    <row r="75" spans="1:10" x14ac:dyDescent="0.4">
      <c r="A75" s="95">
        <f t="shared" si="1"/>
        <v>70</v>
      </c>
      <c r="B75" t="str">
        <f>VLOOKUP(C75,'Project Status'!C:K,8,FALSE)</f>
        <v>Deferred / On Hold</v>
      </c>
      <c r="C75" s="54">
        <v>21074</v>
      </c>
      <c r="D75" s="25" t="str">
        <f>VLOOKUP(C75,'Project Status'!C:G,5,FALSE)</f>
        <v>Law</v>
      </c>
      <c r="E75" t="str">
        <f>VLOOKUP(C75,'Project Status'!C:I,7,FALSE)</f>
        <v>Law School - MEP Feasibility Study</v>
      </c>
      <c r="F75" s="243">
        <f>VLOOKUP(C75,'Project Status'!C:M,11,FALSE)</f>
        <v>10000</v>
      </c>
      <c r="G75" s="244">
        <f>VLOOKUP(C75,'Project Status'!C:S,17,FALSE)</f>
        <v>0</v>
      </c>
      <c r="H75" s="245">
        <f>VLOOKUP(C75,'Project Status'!C:T,18,FALSE)</f>
        <v>0</v>
      </c>
      <c r="I75" s="249">
        <f>VLOOKUP(C75,'Project Status'!C:U,19,FALSE)</f>
        <v>0</v>
      </c>
      <c r="J75" s="283">
        <f>VLOOKUP(C75,'Project Status'!C:X,20,FALSE)</f>
        <v>0</v>
      </c>
    </row>
    <row r="76" spans="1:10" x14ac:dyDescent="0.4">
      <c r="A76" s="95">
        <f t="shared" si="1"/>
        <v>71</v>
      </c>
      <c r="B76" t="str">
        <f>VLOOKUP(C76,'Project Status'!C:K,8,FALSE)</f>
        <v>Active</v>
      </c>
      <c r="C76" s="54">
        <v>21094</v>
      </c>
      <c r="D76" s="25" t="str">
        <f>VLOOKUP(C76,'Project Status'!C:G,5,FALSE)</f>
        <v>Law</v>
      </c>
      <c r="E76" t="str">
        <f>VLOOKUP(C76,'Project Status'!C:I,7,FALSE)</f>
        <v>Godchaux Hall - Replace Fire Pump</v>
      </c>
      <c r="F76" s="243">
        <f>VLOOKUP(C76,'Project Status'!C:M,11,FALSE)</f>
        <v>87500</v>
      </c>
      <c r="G76" s="244">
        <f>VLOOKUP(C76,'Project Status'!C:S,17,FALSE)</f>
        <v>0</v>
      </c>
      <c r="H76" s="245">
        <f>VLOOKUP(C76,'Project Status'!C:T,18,FALSE)</f>
        <v>0</v>
      </c>
      <c r="I76" s="249">
        <f>VLOOKUP(C76,'Project Status'!C:U,19,FALSE)</f>
        <v>87500</v>
      </c>
      <c r="J76" s="283">
        <f>VLOOKUP(C76,'Project Status'!C:X,20,FALSE)</f>
        <v>0</v>
      </c>
    </row>
    <row r="77" spans="1:10" x14ac:dyDescent="0.4">
      <c r="A77" s="95">
        <f t="shared" si="1"/>
        <v>72</v>
      </c>
      <c r="B77" t="str">
        <f>VLOOKUP(C77,'Project Status'!C:K,8,FALSE)</f>
        <v>Complete</v>
      </c>
      <c r="C77" s="54">
        <v>21108</v>
      </c>
      <c r="D77" s="25" t="str">
        <f>VLOOKUP(C77,'Project Status'!C:G,5,FALSE)</f>
        <v>Nursing</v>
      </c>
      <c r="E77" t="str">
        <f>VLOOKUP(C77,'Project Status'!C:I,7,FALSE)</f>
        <v>1025 16th Avenue - Electrical and HVAC Study</v>
      </c>
      <c r="F77" s="243">
        <f>VLOOKUP(C77,'Project Status'!C:M,11,FALSE)</f>
        <v>5000</v>
      </c>
      <c r="G77" s="244">
        <f>VLOOKUP(C77,'Project Status'!C:S,17,FALSE)</f>
        <v>0</v>
      </c>
      <c r="H77" s="245">
        <f>VLOOKUP(C77,'Project Status'!C:T,18,FALSE)</f>
        <v>0</v>
      </c>
      <c r="I77" s="249">
        <f>VLOOKUP(C77,'Project Status'!C:U,19,FALSE)</f>
        <v>5000</v>
      </c>
      <c r="J77" s="283">
        <f>VLOOKUP(C77,'Project Status'!C:X,20,FALSE)</f>
        <v>0</v>
      </c>
    </row>
    <row r="78" spans="1:10" x14ac:dyDescent="0.4">
      <c r="A78" s="95">
        <f t="shared" si="1"/>
        <v>73</v>
      </c>
      <c r="B78" t="str">
        <f>VLOOKUP(C78,'Project Status'!C:K,8,FALSE)</f>
        <v>Active</v>
      </c>
      <c r="C78" s="54">
        <v>21113</v>
      </c>
      <c r="D78" s="25" t="str">
        <f>VLOOKUP(C78,'Project Status'!C:G,5,FALSE)</f>
        <v>Engineering</v>
      </c>
      <c r="E78" t="str">
        <f>VLOOKUP(C78,'Project Status'!C:I,7,FALSE)</f>
        <v>MRBIII - Lecture Hall V1220 Lighting Upgrade</v>
      </c>
      <c r="F78" s="243">
        <f>VLOOKUP(C78,'Project Status'!C:M,11,FALSE)</f>
        <v>85000</v>
      </c>
      <c r="G78" s="244">
        <f>VLOOKUP(C78,'Project Status'!C:S,17,FALSE)</f>
        <v>0</v>
      </c>
      <c r="H78" s="245">
        <f>VLOOKUP(C78,'Project Status'!C:T,18,FALSE)</f>
        <v>0</v>
      </c>
      <c r="I78" s="249">
        <f>VLOOKUP(C78,'Project Status'!C:U,19,FALSE)</f>
        <v>82125</v>
      </c>
      <c r="J78" s="283">
        <f>VLOOKUP(C78,'Project Status'!C:X,20,FALSE)</f>
        <v>0</v>
      </c>
    </row>
    <row r="79" spans="1:10" x14ac:dyDescent="0.4">
      <c r="A79" s="95">
        <f t="shared" si="1"/>
        <v>74</v>
      </c>
      <c r="B79" t="str">
        <f>VLOOKUP(C79,'Project Status'!C:K,8,FALSE)</f>
        <v>Active</v>
      </c>
      <c r="C79" s="54">
        <v>21114</v>
      </c>
      <c r="D79" s="25" t="str">
        <f>VLOOKUP(C79,'Project Status'!C:G,5,FALSE)</f>
        <v>SOM Basic Sciences</v>
      </c>
      <c r="E79" t="str">
        <f>VLOOKUP(C79,'Project Status'!C:I,7,FALSE)</f>
        <v>MRBIII - Chemical Discharge Tank Replacement</v>
      </c>
      <c r="F79" s="243">
        <f>VLOOKUP(C79,'Project Status'!C:M,11,FALSE)</f>
        <v>70000</v>
      </c>
      <c r="G79" s="244">
        <f>VLOOKUP(C79,'Project Status'!C:S,17,FALSE)</f>
        <v>0</v>
      </c>
      <c r="H79" s="245">
        <f>VLOOKUP(C79,'Project Status'!C:T,18,FALSE)</f>
        <v>0</v>
      </c>
      <c r="I79" s="249">
        <f>VLOOKUP(C79,'Project Status'!C:U,19,FALSE)</f>
        <v>68452</v>
      </c>
      <c r="J79" s="283">
        <f>VLOOKUP(C79,'Project Status'!C:X,20,FALSE)</f>
        <v>0</v>
      </c>
    </row>
    <row r="80" spans="1:10" x14ac:dyDescent="0.4">
      <c r="A80" s="95">
        <f t="shared" si="1"/>
        <v>75</v>
      </c>
      <c r="B80" t="str">
        <f>VLOOKUP(C80,'Project Status'!C:K,8,FALSE)</f>
        <v>Active</v>
      </c>
      <c r="C80" s="54">
        <v>21127</v>
      </c>
      <c r="D80" s="25" t="str">
        <f>VLOOKUP(C80,'Project Status'!C:G,5,FALSE)</f>
        <v>SOM Basic Sciences</v>
      </c>
      <c r="E80" t="str">
        <f>VLOOKUP(C80,'Project Status'!C:I,7,FALSE)</f>
        <v>MRBIII - Cooling Tower Overhaul</v>
      </c>
      <c r="F80" s="243">
        <f>VLOOKUP(C80,'Project Status'!C:M,11,FALSE)</f>
        <v>450000</v>
      </c>
      <c r="G80" s="244">
        <f>VLOOKUP(C80,'Project Status'!C:S,17,FALSE)</f>
        <v>0</v>
      </c>
      <c r="H80" s="245">
        <f>VLOOKUP(C80,'Project Status'!C:T,18,FALSE)</f>
        <v>0</v>
      </c>
      <c r="I80" s="249">
        <f>VLOOKUP(C80,'Project Status'!C:U,19,FALSE)</f>
        <v>0</v>
      </c>
      <c r="J80" s="283">
        <f>VLOOKUP(C80,'Project Status'!C:X,20,FALSE)</f>
        <v>449020</v>
      </c>
    </row>
    <row r="81" spans="1:12" x14ac:dyDescent="0.4">
      <c r="A81" s="95">
        <f t="shared" ref="A81:A92" si="2">A80+1</f>
        <v>76</v>
      </c>
      <c r="B81" t="str">
        <f>VLOOKUP(C81,'Project Status'!C:K,8,FALSE)</f>
        <v>Active</v>
      </c>
      <c r="C81" s="54">
        <v>21155</v>
      </c>
      <c r="D81" s="25" t="str">
        <f>VLOOKUP(C81,'Project Status'!C:G,5,FALSE)</f>
        <v>Arts &amp; Science</v>
      </c>
      <c r="E81" t="str">
        <f>VLOOKUP(C81,'Project Status'!C:I,7,FALSE)</f>
        <v>SC2 Restroom Upgrades</v>
      </c>
      <c r="F81" s="243">
        <f>VLOOKUP(C81,'Project Status'!C:M,11,FALSE)</f>
        <v>0</v>
      </c>
      <c r="G81" s="244">
        <f>VLOOKUP(C81,'Project Status'!C:S,17,FALSE)</f>
        <v>0</v>
      </c>
      <c r="H81" s="245">
        <f>VLOOKUP(C81,'Project Status'!C:T,18,FALSE)</f>
        <v>0</v>
      </c>
      <c r="I81" s="249">
        <f>VLOOKUP(C81,'Project Status'!C:U,19,FALSE)</f>
        <v>0</v>
      </c>
      <c r="J81" s="283">
        <f>VLOOKUP(C81,'Project Status'!C:X,20,FALSE)</f>
        <v>0</v>
      </c>
    </row>
    <row r="82" spans="1:12" x14ac:dyDescent="0.4">
      <c r="A82" s="95">
        <f t="shared" si="2"/>
        <v>77</v>
      </c>
      <c r="B82" t="str">
        <f>VLOOKUP(C82,'Project Status'!C:K,8,FALSE)</f>
        <v>Active</v>
      </c>
      <c r="C82" s="54">
        <v>21156</v>
      </c>
      <c r="D82" s="25" t="str">
        <f>VLOOKUP(C82,'Project Status'!C:G,5,FALSE)</f>
        <v>Engineering</v>
      </c>
      <c r="E82" t="str">
        <f>VLOOKUP(C82,'Project Status'!C:I,7,FALSE)</f>
        <v>Olin Hall 2nd Floor Chiller</v>
      </c>
      <c r="F82" s="243">
        <f>VLOOKUP(C82,'Project Status'!C:M,11,FALSE)</f>
        <v>500000</v>
      </c>
      <c r="G82" s="244">
        <f>VLOOKUP(C82,'Project Status'!C:S,17,FALSE)</f>
        <v>0</v>
      </c>
      <c r="H82" s="245">
        <f>VLOOKUP(C82,'Project Status'!C:T,18,FALSE)</f>
        <v>0</v>
      </c>
      <c r="I82" s="249">
        <f>VLOOKUP(C82,'Project Status'!C:U,19,FALSE)</f>
        <v>0</v>
      </c>
      <c r="J82" s="283">
        <f>VLOOKUP(C82,'Project Status'!C:X,20,FALSE)</f>
        <v>0</v>
      </c>
    </row>
    <row r="83" spans="1:12" x14ac:dyDescent="0.4">
      <c r="A83" s="95">
        <f t="shared" si="2"/>
        <v>78</v>
      </c>
      <c r="B83" t="str">
        <f>VLOOKUP(C83,'Project Status'!C:K,8,FALSE)</f>
        <v>Active</v>
      </c>
      <c r="C83" s="54">
        <v>21165</v>
      </c>
      <c r="D83" s="25" t="str">
        <f>VLOOKUP(C83,'Project Status'!C:G,5,FALSE)</f>
        <v>Peabody</v>
      </c>
      <c r="E83" t="str">
        <f>VLOOKUP(C83,'Project Status'!C:I,7,FALSE)</f>
        <v>Wyatt Center Rotunda Repairs</v>
      </c>
      <c r="F83" s="243">
        <f>VLOOKUP(C83,'Project Status'!C:M,11,FALSE)</f>
        <v>0</v>
      </c>
      <c r="G83" s="244">
        <f>VLOOKUP(C83,'Project Status'!C:S,17,FALSE)</f>
        <v>0</v>
      </c>
      <c r="H83" s="245">
        <f>VLOOKUP(C83,'Project Status'!C:T,18,FALSE)</f>
        <v>0</v>
      </c>
      <c r="I83" s="249">
        <f>VLOOKUP(C83,'Project Status'!C:U,19,FALSE)</f>
        <v>0</v>
      </c>
      <c r="J83" s="283">
        <f>VLOOKUP(C83,'Project Status'!C:X,20,FALSE)</f>
        <v>0</v>
      </c>
    </row>
    <row r="84" spans="1:12" x14ac:dyDescent="0.4">
      <c r="A84" s="95">
        <f t="shared" si="2"/>
        <v>79</v>
      </c>
      <c r="B84" t="str">
        <f>VLOOKUP(C84,'Project Status'!C:K,8,FALSE)</f>
        <v>Active</v>
      </c>
      <c r="C84" s="54">
        <v>21171</v>
      </c>
      <c r="D84" s="25" t="str">
        <f>VLOOKUP(C84,'Project Status'!C:G,5,FALSE)</f>
        <v>Blair</v>
      </c>
      <c r="E84" t="str">
        <f>VLOOKUP(C84,'Project Status'!C:I,7,FALSE)</f>
        <v>Blair School of Music - AHU-1 Distribution HVAC Replacement</v>
      </c>
      <c r="F84" s="243">
        <f>VLOOKUP(C84,'Project Status'!C:M,11,FALSE)</f>
        <v>0</v>
      </c>
      <c r="G84" s="244">
        <f>VLOOKUP(C84,'Project Status'!C:S,17,FALSE)</f>
        <v>0</v>
      </c>
      <c r="H84" s="245">
        <f>VLOOKUP(C84,'Project Status'!C:T,18,FALSE)</f>
        <v>0</v>
      </c>
      <c r="I84" s="249">
        <f>VLOOKUP(C84,'Project Status'!C:U,19,FALSE)</f>
        <v>0</v>
      </c>
      <c r="J84" s="283">
        <f>VLOOKUP(C84,'Project Status'!C:X,20,FALSE)</f>
        <v>0</v>
      </c>
    </row>
    <row r="85" spans="1:12" x14ac:dyDescent="0.4">
      <c r="A85" s="95">
        <f t="shared" si="2"/>
        <v>80</v>
      </c>
      <c r="B85" t="str">
        <f>VLOOKUP(C85,'Project Status'!C:K,8,FALSE)</f>
        <v>Active</v>
      </c>
      <c r="C85" s="54">
        <v>21172</v>
      </c>
      <c r="D85" s="25" t="str">
        <f>VLOOKUP(C85,'Project Status'!C:G,5,FALSE)</f>
        <v>Blair</v>
      </c>
      <c r="E85" t="str">
        <f>VLOOKUP(C85,'Project Status'!C:I,7,FALSE)</f>
        <v>Blair School of Music - AHU-2/3 HVACE Distribution Replacement</v>
      </c>
      <c r="F85" s="243">
        <f>VLOOKUP(C85,'Project Status'!C:M,11,FALSE)</f>
        <v>0</v>
      </c>
      <c r="G85" s="244">
        <f>VLOOKUP(C85,'Project Status'!C:S,17,FALSE)</f>
        <v>0</v>
      </c>
      <c r="H85" s="245">
        <f>VLOOKUP(C85,'Project Status'!C:T,18,FALSE)</f>
        <v>0</v>
      </c>
      <c r="I85" s="249">
        <f>VLOOKUP(C85,'Project Status'!C:U,19,FALSE)</f>
        <v>0</v>
      </c>
      <c r="J85" s="283">
        <f>VLOOKUP(C85,'Project Status'!C:X,20,FALSE)</f>
        <v>0</v>
      </c>
    </row>
    <row r="86" spans="1:12" x14ac:dyDescent="0.4">
      <c r="A86" s="95">
        <f t="shared" si="2"/>
        <v>81</v>
      </c>
      <c r="B86" t="str">
        <f>VLOOKUP(C86,'Project Status'!C:K,8,FALSE)</f>
        <v>Active</v>
      </c>
      <c r="C86" s="54">
        <v>21173</v>
      </c>
      <c r="D86" s="25" t="str">
        <f>VLOOKUP(C86,'Project Status'!C:G,5,FALSE)</f>
        <v>Engineering</v>
      </c>
      <c r="E86" t="str">
        <f>VLOOKUP(C86,'Project Status'!C:I,7,FALSE)</f>
        <v>17th &amp; Horton Elevators Modernization</v>
      </c>
      <c r="F86" s="243">
        <f>VLOOKUP(C86,'Project Status'!C:M,11,FALSE)</f>
        <v>0</v>
      </c>
      <c r="G86" s="244">
        <f>VLOOKUP(C86,'Project Status'!C:S,17,FALSE)</f>
        <v>0</v>
      </c>
      <c r="H86" s="245">
        <f>VLOOKUP(C86,'Project Status'!C:T,18,FALSE)</f>
        <v>0</v>
      </c>
      <c r="I86" s="249">
        <f>VLOOKUP(C86,'Project Status'!C:U,19,FALSE)</f>
        <v>0</v>
      </c>
      <c r="J86" s="283">
        <f>VLOOKUP(C86,'Project Status'!C:X,20,FALSE)</f>
        <v>0</v>
      </c>
    </row>
    <row r="87" spans="1:12" x14ac:dyDescent="0.4">
      <c r="A87" s="95">
        <f t="shared" si="2"/>
        <v>82</v>
      </c>
      <c r="B87" t="str">
        <f>VLOOKUP(C87,'Project Status'!C:K,8,FALSE)</f>
        <v>Active</v>
      </c>
      <c r="C87" s="54">
        <v>21174</v>
      </c>
      <c r="D87" s="25" t="str">
        <f>VLOOKUP(C87,'Project Status'!C:G,5,FALSE)</f>
        <v>Arts &amp; Science</v>
      </c>
      <c r="E87" t="str">
        <f>VLOOKUP(C87,'Project Status'!C:I,7,FALSE)</f>
        <v>Buttrick Hall - Restore / Replace Exterior Wood Doors and Closures</v>
      </c>
      <c r="F87" s="243">
        <f>VLOOKUP(C87,'Project Status'!C:M,11,FALSE)</f>
        <v>0</v>
      </c>
      <c r="G87" s="244">
        <f>VLOOKUP(C87,'Project Status'!C:S,17,FALSE)</f>
        <v>0</v>
      </c>
      <c r="H87" s="245">
        <f>VLOOKUP(C87,'Project Status'!C:T,18,FALSE)</f>
        <v>0</v>
      </c>
      <c r="I87" s="249">
        <f>VLOOKUP(C87,'Project Status'!C:U,19,FALSE)</f>
        <v>0</v>
      </c>
      <c r="J87" s="283">
        <f>VLOOKUP(C87,'Project Status'!C:X,20,FALSE)</f>
        <v>0</v>
      </c>
    </row>
    <row r="88" spans="1:12" x14ac:dyDescent="0.4">
      <c r="A88" s="95">
        <f t="shared" si="2"/>
        <v>83</v>
      </c>
      <c r="B88" t="str">
        <f>VLOOKUP(C88,'Project Status'!C:K,8,FALSE)</f>
        <v>Active</v>
      </c>
      <c r="C88" s="54">
        <v>21175</v>
      </c>
      <c r="D88" s="25" t="str">
        <f>VLOOKUP(C88,'Project Status'!C:G,5,FALSE)</f>
        <v>Arts &amp; Science</v>
      </c>
      <c r="E88" t="str">
        <f>VLOOKUP(C88,'Project Status'!C:I,7,FALSE)</f>
        <v>Law School Partial Roof Replacement</v>
      </c>
      <c r="F88" s="243">
        <f>VLOOKUP(C88,'Project Status'!C:M,11,FALSE)</f>
        <v>0</v>
      </c>
      <c r="G88" s="244">
        <f>VLOOKUP(C88,'Project Status'!C:S,17,FALSE)</f>
        <v>0</v>
      </c>
      <c r="H88" s="245">
        <f>VLOOKUP(C88,'Project Status'!C:T,18,FALSE)</f>
        <v>0</v>
      </c>
      <c r="I88" s="249">
        <f>VLOOKUP(C88,'Project Status'!C:U,19,FALSE)</f>
        <v>0</v>
      </c>
      <c r="J88" s="283">
        <f>VLOOKUP(C88,'Project Status'!C:X,20,FALSE)</f>
        <v>0</v>
      </c>
    </row>
    <row r="89" spans="1:12" x14ac:dyDescent="0.4">
      <c r="A89" s="95">
        <f t="shared" si="2"/>
        <v>84</v>
      </c>
      <c r="B89" t="str">
        <f>VLOOKUP(C89,'Project Status'!C:K,8,FALSE)</f>
        <v>Active</v>
      </c>
      <c r="C89" s="54">
        <v>21176</v>
      </c>
      <c r="D89" s="25" t="str">
        <f>VLOOKUP(C89,'Project Status'!C:G,5,FALSE)</f>
        <v>Law</v>
      </c>
      <c r="E89" t="str">
        <f>VLOOKUP(C89,'Project Status'!C:I,7,FALSE)</f>
        <v>Law School Walkway Replacement</v>
      </c>
      <c r="F89" s="243">
        <f>VLOOKUP(C89,'Project Status'!C:M,11,FALSE)</f>
        <v>0</v>
      </c>
      <c r="G89" s="244">
        <f>VLOOKUP(C89,'Project Status'!C:S,17,FALSE)</f>
        <v>0</v>
      </c>
      <c r="H89" s="245">
        <f>VLOOKUP(C89,'Project Status'!C:T,18,FALSE)</f>
        <v>0</v>
      </c>
      <c r="I89" s="249">
        <f>VLOOKUP(C89,'Project Status'!C:U,19,FALSE)</f>
        <v>0</v>
      </c>
      <c r="J89" s="283">
        <f>VLOOKUP(C89,'Project Status'!C:X,20,FALSE)</f>
        <v>0</v>
      </c>
    </row>
    <row r="90" spans="1:12" x14ac:dyDescent="0.4">
      <c r="A90" s="95">
        <f t="shared" si="2"/>
        <v>85</v>
      </c>
      <c r="B90" t="str">
        <f>VLOOKUP(C90,'Project Status'!C:K,8,FALSE)</f>
        <v>Active</v>
      </c>
      <c r="C90" s="54">
        <v>21177</v>
      </c>
      <c r="D90" s="25" t="str">
        <f>VLOOKUP(C90,'Project Status'!C:G,5,FALSE)</f>
        <v>Arts &amp; Science</v>
      </c>
      <c r="E90" t="str">
        <f>VLOOKUP(C90,'Project Status'!C:I,7,FALSE)</f>
        <v>SC2 Molecular Biology HVAC Replacement</v>
      </c>
      <c r="F90" s="243">
        <f>VLOOKUP(C90,'Project Status'!C:M,11,FALSE)</f>
        <v>0</v>
      </c>
      <c r="G90" s="244">
        <f>VLOOKUP(C90,'Project Status'!C:S,17,FALSE)</f>
        <v>0</v>
      </c>
      <c r="H90" s="245">
        <f>VLOOKUP(C90,'Project Status'!C:T,18,FALSE)</f>
        <v>0</v>
      </c>
      <c r="I90" s="249">
        <f>VLOOKUP(C90,'Project Status'!C:U,19,FALSE)</f>
        <v>0</v>
      </c>
      <c r="J90" s="283">
        <f>VLOOKUP(C90,'Project Status'!C:X,20,FALSE)</f>
        <v>0</v>
      </c>
    </row>
    <row r="91" spans="1:12" x14ac:dyDescent="0.4">
      <c r="A91" s="95">
        <f t="shared" si="2"/>
        <v>86</v>
      </c>
      <c r="B91" t="str">
        <f>VLOOKUP(C91,'Project Status'!C:K,8,FALSE)</f>
        <v>Active</v>
      </c>
      <c r="C91" s="54">
        <v>21178</v>
      </c>
      <c r="D91" s="25" t="str">
        <f>VLOOKUP(C91,'Project Status'!C:G,5,FALSE)</f>
        <v>Arts &amp; Science</v>
      </c>
      <c r="E91" t="str">
        <f>VLOOKUP(C91,'Project Status'!C:I,7,FALSE)</f>
        <v>Wilson Hall - Air Compressor Replacement</v>
      </c>
      <c r="F91" s="243">
        <f>VLOOKUP(C91,'Project Status'!C:M,11,FALSE)</f>
        <v>0</v>
      </c>
      <c r="G91" s="244">
        <f>VLOOKUP(C91,'Project Status'!C:S,17,FALSE)</f>
        <v>0</v>
      </c>
      <c r="H91" s="245">
        <f>VLOOKUP(C91,'Project Status'!C:T,18,FALSE)</f>
        <v>0</v>
      </c>
      <c r="I91" s="249">
        <f>VLOOKUP(C91,'Project Status'!C:U,19,FALSE)</f>
        <v>0</v>
      </c>
      <c r="J91" s="283">
        <f>VLOOKUP(C91,'Project Status'!C:X,20,FALSE)</f>
        <v>0</v>
      </c>
    </row>
    <row r="92" spans="1:12" x14ac:dyDescent="0.4">
      <c r="A92" s="95">
        <f t="shared" si="2"/>
        <v>87</v>
      </c>
      <c r="B92" t="str">
        <f>VLOOKUP(C92,'Project Status'!C:K,8,FALSE)</f>
        <v>Active</v>
      </c>
      <c r="C92" s="54">
        <v>21189</v>
      </c>
      <c r="D92" s="25" t="str">
        <f>VLOOKUP(C92,'Project Status'!C:G,5,FALSE)</f>
        <v>Blair</v>
      </c>
      <c r="E92" t="str">
        <f>VLOOKUP(C92,'Project Status'!C:I,7,FALSE)</f>
        <v>Blair School Legacy VAV Replacement</v>
      </c>
      <c r="F92" s="243">
        <f>VLOOKUP(C92,'Project Status'!C:M,11,FALSE)</f>
        <v>0</v>
      </c>
      <c r="G92" s="244">
        <f>VLOOKUP(C92,'Project Status'!C:S,17,FALSE)</f>
        <v>0</v>
      </c>
      <c r="H92" s="245">
        <f>VLOOKUP(C92,'Project Status'!C:T,18,FALSE)</f>
        <v>0</v>
      </c>
      <c r="I92" s="249">
        <f>VLOOKUP(C92,'Project Status'!C:U,19,FALSE)</f>
        <v>0</v>
      </c>
      <c r="J92" s="283">
        <f>VLOOKUP(C92,'Project Status'!C:X,20,FALSE)</f>
        <v>0</v>
      </c>
    </row>
    <row r="93" spans="1:12" s="19" customFormat="1" x14ac:dyDescent="0.4">
      <c r="B93"/>
      <c r="F93" s="115">
        <f>SUM(F6:F92)</f>
        <v>49462033.759999998</v>
      </c>
      <c r="G93" s="71">
        <f t="shared" ref="G93:J93" si="3">SUM(G6:G92)</f>
        <v>8797286.2599999998</v>
      </c>
      <c r="H93" s="72">
        <f t="shared" si="3"/>
        <v>11427472.939999999</v>
      </c>
      <c r="I93" s="247">
        <f t="shared" si="3"/>
        <v>10171078.440000001</v>
      </c>
      <c r="J93" s="284">
        <f t="shared" si="3"/>
        <v>4311408.1400000006</v>
      </c>
      <c r="K93"/>
      <c r="L93"/>
    </row>
    <row r="94" spans="1:12" s="19" customFormat="1" x14ac:dyDescent="0.4">
      <c r="B94"/>
      <c r="F94" s="65"/>
      <c r="G94" s="65"/>
      <c r="H94" s="65"/>
      <c r="I94" s="65"/>
      <c r="J94" s="65"/>
    </row>
  </sheetData>
  <sortState xmlns:xlrd2="http://schemas.microsoft.com/office/spreadsheetml/2017/richdata2" ref="B6:G27">
    <sortCondition ref="B6:B27"/>
    <sortCondition ref="D6:D27"/>
  </sortState>
  <pageMargins left="0.7" right="0.7" top="0.75" bottom="0.75" header="0.3" footer="0.3"/>
  <pageSetup scale="70" fitToHeight="0"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4" bestFit="1" customWidth="1"/>
    <col min="6" max="6" width="11.69140625" bestFit="1" customWidth="1"/>
    <col min="7" max="7" width="11.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Status'!C:K,9,FALSE)</f>
        <v>Financial Closeout</v>
      </c>
      <c r="G4" s="11" t="str">
        <f>VLOOKUP(A4,'Project Status'!C:L,10,FALSE)</f>
        <v>Sean Rewers</v>
      </c>
      <c r="H4" s="88">
        <f>VLOOKUP(A4,'Project Status'!C:N,12,FALSE)</f>
        <v>499093</v>
      </c>
      <c r="I4" s="172">
        <f>VLOOKUP(A4,'Project Status'!C:Q,15,FALSE)</f>
        <v>447510.86</v>
      </c>
    </row>
    <row r="8" spans="1:11" x14ac:dyDescent="0.4">
      <c r="E8" s="40" t="s">
        <v>123</v>
      </c>
    </row>
    <row r="9" spans="1:11" x14ac:dyDescent="0.4">
      <c r="E9" s="21" t="s">
        <v>261</v>
      </c>
      <c r="F9" s="32" t="s">
        <v>138</v>
      </c>
      <c r="H9" s="97">
        <v>499093</v>
      </c>
    </row>
    <row r="10" spans="1:11" x14ac:dyDescent="0.4">
      <c r="E10" s="21"/>
      <c r="H10" s="41"/>
    </row>
    <row r="18" spans="5:8" x14ac:dyDescent="0.4">
      <c r="E18" s="135" t="s">
        <v>260</v>
      </c>
      <c r="F18" s="136"/>
      <c r="G18" s="135"/>
      <c r="H18" s="137">
        <f>SUM(H9:H17)</f>
        <v>499093</v>
      </c>
    </row>
    <row r="20" spans="5:8" x14ac:dyDescent="0.4">
      <c r="E20" s="138" t="s">
        <v>135</v>
      </c>
      <c r="F20" s="138"/>
      <c r="G20" s="138"/>
      <c r="H20" s="139">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38.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Status'!C:K,8,FALSE)</f>
        <v>Complete</v>
      </c>
      <c r="G4" s="11" t="str">
        <f>VLOOKUP(A4,'Project Status'!C:L,9,FALSE)</f>
        <v>Finalized</v>
      </c>
      <c r="H4" s="88">
        <f>VLOOKUP(A4,'Project Status'!C:N,11,FALSE)</f>
        <v>225791</v>
      </c>
      <c r="I4" s="172">
        <f>VLOOKUP(A4,'Project Status'!C:O,13,FALSE)</f>
        <v>209419</v>
      </c>
    </row>
    <row r="8" spans="1:11" x14ac:dyDescent="0.4">
      <c r="E8" s="40" t="s">
        <v>123</v>
      </c>
    </row>
    <row r="9" spans="1:11" x14ac:dyDescent="0.4">
      <c r="E9" s="21" t="s">
        <v>212</v>
      </c>
      <c r="F9" s="32" t="s">
        <v>138</v>
      </c>
      <c r="H9" s="41">
        <v>13550</v>
      </c>
    </row>
    <row r="10" spans="1:11" x14ac:dyDescent="0.4">
      <c r="E10" s="21" t="s">
        <v>228</v>
      </c>
      <c r="F10" t="s">
        <v>211</v>
      </c>
      <c r="H10" s="41">
        <v>225791</v>
      </c>
    </row>
    <row r="11" spans="1:11" x14ac:dyDescent="0.4">
      <c r="E11" s="21" t="s">
        <v>360</v>
      </c>
      <c r="F11" t="s">
        <v>370</v>
      </c>
      <c r="H11" s="41">
        <v>-29922</v>
      </c>
    </row>
    <row r="18" spans="5:8" x14ac:dyDescent="0.4">
      <c r="E18" s="135" t="s">
        <v>260</v>
      </c>
      <c r="F18" s="136"/>
      <c r="G18" s="135"/>
      <c r="H18" s="137">
        <f>SUM(H9:H17)</f>
        <v>209419</v>
      </c>
    </row>
    <row r="20" spans="5:8" x14ac:dyDescent="0.4">
      <c r="E20" s="138" t="s">
        <v>135</v>
      </c>
      <c r="F20" s="138"/>
      <c r="G20" s="138"/>
      <c r="H20" s="139">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43.304687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Status'!C:K,8,FALSE)</f>
        <v>Complete</v>
      </c>
      <c r="G4" s="11" t="str">
        <f>VLOOKUP(A4,'Project Status'!C:L,9,FALSE)</f>
        <v>Finalized</v>
      </c>
      <c r="H4" s="88">
        <f>VLOOKUP(A4,'Project Status'!C:N,11,FALSE)</f>
        <v>715000</v>
      </c>
      <c r="I4" s="172">
        <f>VLOOKUP(A4,'Project Status'!C:O,13,FALSE)</f>
        <v>656784.6</v>
      </c>
    </row>
    <row r="8" spans="1:11" x14ac:dyDescent="0.4">
      <c r="E8" s="40" t="s">
        <v>123</v>
      </c>
    </row>
    <row r="9" spans="1:11" x14ac:dyDescent="0.4">
      <c r="E9" s="21" t="s">
        <v>271</v>
      </c>
      <c r="F9" s="32" t="s">
        <v>270</v>
      </c>
      <c r="H9" s="41">
        <v>96166</v>
      </c>
    </row>
    <row r="10" spans="1:11" x14ac:dyDescent="0.4">
      <c r="E10" s="21"/>
      <c r="F10" s="19" t="s">
        <v>273</v>
      </c>
      <c r="H10" s="41"/>
    </row>
    <row r="11" spans="1:11" x14ac:dyDescent="0.4">
      <c r="E11" s="31" t="s">
        <v>275</v>
      </c>
      <c r="H11" s="96">
        <f>715000-96166</f>
        <v>618834</v>
      </c>
    </row>
    <row r="13" spans="1:11" x14ac:dyDescent="0.4">
      <c r="H13" s="43">
        <f>SUM(H9:H11)</f>
        <v>715000</v>
      </c>
    </row>
    <row r="18" spans="5:8" x14ac:dyDescent="0.4">
      <c r="E18" s="135" t="s">
        <v>260</v>
      </c>
      <c r="F18" s="136"/>
      <c r="G18" s="135"/>
      <c r="H18" s="137">
        <f>H9</f>
        <v>96166</v>
      </c>
    </row>
    <row r="20" spans="5:8" x14ac:dyDescent="0.4">
      <c r="E20" s="138" t="s">
        <v>135</v>
      </c>
      <c r="F20" s="138"/>
      <c r="G20" s="138"/>
      <c r="H20" s="139">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6.07421875" bestFit="1" customWidth="1"/>
    <col min="5" max="5" width="52.84375" bestFit="1" customWidth="1"/>
    <col min="6" max="6" width="6.3046875" bestFit="1" customWidth="1"/>
    <col min="7" max="7" width="13.07421875" bestFit="1" customWidth="1"/>
    <col min="8" max="9" width="16"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Status'!C:K,9,FALSE)</f>
        <v>Construction</v>
      </c>
      <c r="G4" s="11" t="str">
        <f>VLOOKUP(A4,'Project Status'!C:L,10,FALSE)</f>
        <v>Jay Surprenant</v>
      </c>
      <c r="H4" s="88">
        <f>VLOOKUP(A4,'Project Status'!C:N,12,FALSE)</f>
        <v>1700000</v>
      </c>
      <c r="I4" s="172">
        <f>VLOOKUP(A4,'Project Status'!C:Q,15,FALSE)</f>
        <v>784297.02</v>
      </c>
    </row>
    <row r="8" spans="1:11" x14ac:dyDescent="0.4">
      <c r="E8" s="40" t="s">
        <v>123</v>
      </c>
    </row>
    <row r="9" spans="1:11" x14ac:dyDescent="0.4">
      <c r="E9" s="21" t="s">
        <v>245</v>
      </c>
      <c r="F9" s="32"/>
      <c r="H9" s="41">
        <v>24500</v>
      </c>
    </row>
    <row r="10" spans="1:11" x14ac:dyDescent="0.4">
      <c r="E10" s="21" t="s">
        <v>261</v>
      </c>
      <c r="H10" s="41">
        <v>136000</v>
      </c>
    </row>
    <row r="11" spans="1:11" x14ac:dyDescent="0.4">
      <c r="E11" s="21" t="s">
        <v>429</v>
      </c>
      <c r="H11" s="42">
        <f>1700000-H10-H9</f>
        <v>1539500</v>
      </c>
    </row>
    <row r="18" spans="5:8" x14ac:dyDescent="0.4">
      <c r="E18" s="135" t="s">
        <v>260</v>
      </c>
      <c r="F18" s="136"/>
      <c r="G18" s="135"/>
      <c r="H18" s="137">
        <f>SUM(H9:H17)</f>
        <v>1700000</v>
      </c>
    </row>
    <row r="20" spans="5:8" x14ac:dyDescent="0.4">
      <c r="E20" s="138" t="s">
        <v>135</v>
      </c>
      <c r="F20" s="138"/>
      <c r="G20" s="138"/>
      <c r="H20" s="139">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27.84375" bestFit="1" customWidth="1"/>
    <col min="5" max="5" width="35.30468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Status'!C:K,9,FALSE)</f>
        <v>Financial Closeout</v>
      </c>
      <c r="G4" s="11" t="str">
        <f>VLOOKUP(A4,'Project Status'!C:L,10,FALSE)</f>
        <v>Hans Mooy</v>
      </c>
      <c r="H4" s="88">
        <f>VLOOKUP(A4,'Project Status'!C:N,12,FALSE)</f>
        <v>1987500</v>
      </c>
      <c r="I4" s="172">
        <f>VLOOKUP(A4,'Project Status'!C:Q,15,FALSE)</f>
        <v>1839258.28</v>
      </c>
    </row>
    <row r="8" spans="1:11" x14ac:dyDescent="0.4">
      <c r="E8" s="40" t="s">
        <v>123</v>
      </c>
    </row>
    <row r="9" spans="1:11" x14ac:dyDescent="0.4">
      <c r="E9" t="s">
        <v>234</v>
      </c>
      <c r="F9" t="s">
        <v>138</v>
      </c>
      <c r="H9" s="41">
        <v>23400</v>
      </c>
    </row>
    <row r="10" spans="1:11" x14ac:dyDescent="0.4">
      <c r="E10" t="s">
        <v>342</v>
      </c>
      <c r="F10" t="s">
        <v>211</v>
      </c>
      <c r="H10" s="41">
        <v>1964100</v>
      </c>
    </row>
    <row r="12" spans="1:11" x14ac:dyDescent="0.4">
      <c r="F12" s="10"/>
      <c r="G12" s="10"/>
      <c r="H12" s="44"/>
    </row>
    <row r="18" spans="5:8" x14ac:dyDescent="0.4">
      <c r="E18" s="135" t="s">
        <v>260</v>
      </c>
      <c r="F18" s="136"/>
      <c r="G18" s="135"/>
      <c r="H18" s="137">
        <f>SUM(H9:H17)</f>
        <v>1987500</v>
      </c>
    </row>
    <row r="20" spans="5:8" x14ac:dyDescent="0.4">
      <c r="E20" s="138" t="s">
        <v>135</v>
      </c>
      <c r="F20" s="138"/>
      <c r="G20" s="138"/>
      <c r="H20" s="139">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Status'!C:K,8,FALSE)</f>
        <v>Complete</v>
      </c>
      <c r="G4" s="11" t="str">
        <f>VLOOKUP(A4,'Project Status'!C:L,9,FALSE)</f>
        <v>Finalized</v>
      </c>
      <c r="H4" s="88">
        <f>VLOOKUP(A4,'Project Status'!C:N,11,FALSE)</f>
        <v>300000</v>
      </c>
      <c r="I4" s="172">
        <f>VLOOKUP(A4,'Project Status'!C:O,13,FALSE)</f>
        <v>276500</v>
      </c>
    </row>
    <row r="8" spans="1:11" x14ac:dyDescent="0.4">
      <c r="E8" s="40" t="s">
        <v>123</v>
      </c>
    </row>
    <row r="9" spans="1:11" x14ac:dyDescent="0.4">
      <c r="E9" s="21" t="s">
        <v>266</v>
      </c>
      <c r="F9" t="s">
        <v>138</v>
      </c>
      <c r="H9" s="41">
        <v>300000</v>
      </c>
    </row>
    <row r="10" spans="1:11" x14ac:dyDescent="0.4">
      <c r="E10" s="21" t="s">
        <v>396</v>
      </c>
      <c r="F10" t="s">
        <v>296</v>
      </c>
      <c r="H10" s="41">
        <v>-23500</v>
      </c>
    </row>
    <row r="12" spans="1:11" x14ac:dyDescent="0.4">
      <c r="F12" s="10"/>
      <c r="G12" s="10"/>
      <c r="H12" s="44"/>
    </row>
    <row r="18" spans="5:8" x14ac:dyDescent="0.4">
      <c r="E18" s="135" t="s">
        <v>260</v>
      </c>
      <c r="F18" s="136"/>
      <c r="G18" s="135"/>
      <c r="H18" s="137">
        <f>SUM(H9:H17)</f>
        <v>276500</v>
      </c>
    </row>
    <row r="20" spans="5:8" x14ac:dyDescent="0.4">
      <c r="E20" s="138" t="s">
        <v>135</v>
      </c>
      <c r="F20" s="138"/>
      <c r="G20" s="138"/>
      <c r="H20" s="139">
        <f>I4-H18</f>
        <v>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5.30468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Status'!C:K,9,FALSE)</f>
        <v>Warranty or Construction Closeout</v>
      </c>
      <c r="G4" s="11" t="str">
        <f>VLOOKUP(A4,'Project Status'!C:L,10,FALSE)</f>
        <v>Jay Surprenant</v>
      </c>
      <c r="H4" s="88">
        <f>VLOOKUP(A4,'Project Status'!C:N,12,FALSE)</f>
        <v>148299</v>
      </c>
      <c r="I4" s="172">
        <f>VLOOKUP(A4,'Project Status'!C:Q,15,FALSE)</f>
        <v>125699</v>
      </c>
    </row>
    <row r="8" spans="1:11" x14ac:dyDescent="0.4">
      <c r="E8" s="40" t="s">
        <v>123</v>
      </c>
    </row>
    <row r="9" spans="1:11" x14ac:dyDescent="0.4">
      <c r="E9" s="21" t="s">
        <v>375</v>
      </c>
      <c r="F9" t="s">
        <v>138</v>
      </c>
      <c r="H9" s="41">
        <v>148299</v>
      </c>
    </row>
    <row r="10" spans="1:11" x14ac:dyDescent="0.4">
      <c r="E10" s="21"/>
    </row>
    <row r="12" spans="1:11" x14ac:dyDescent="0.4">
      <c r="F12" s="10"/>
      <c r="G12" s="10"/>
      <c r="H12" s="44"/>
    </row>
    <row r="18" spans="5:8" x14ac:dyDescent="0.4">
      <c r="E18" s="135" t="s">
        <v>260</v>
      </c>
      <c r="F18" s="136"/>
      <c r="G18" s="135"/>
      <c r="H18" s="137">
        <f>SUM(H9:H17)</f>
        <v>148299</v>
      </c>
    </row>
    <row r="20" spans="5:8" x14ac:dyDescent="0.4">
      <c r="E20" s="138" t="s">
        <v>135</v>
      </c>
      <c r="F20" s="138"/>
      <c r="G20" s="138"/>
      <c r="H20" s="139">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39.69140625" bestFit="1" customWidth="1"/>
    <col min="6" max="6" width="9"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Status'!C:K,8,FALSE)</f>
        <v>Complete</v>
      </c>
      <c r="G4" s="11" t="str">
        <f>VLOOKUP(A4,'Project Status'!C:L,9,FALSE)</f>
        <v>Finalized</v>
      </c>
      <c r="H4" s="88">
        <f>VLOOKUP(A4,'Project Status'!C:N,11,FALSE)</f>
        <v>25000</v>
      </c>
      <c r="I4" s="172">
        <f>VLOOKUP(A4,'Project Status'!C:O,13,FALSE)</f>
        <v>17972</v>
      </c>
    </row>
    <row r="8" spans="1:11" x14ac:dyDescent="0.4">
      <c r="E8" s="40" t="s">
        <v>123</v>
      </c>
    </row>
    <row r="9" spans="1:11" x14ac:dyDescent="0.4">
      <c r="E9" s="21" t="s">
        <v>261</v>
      </c>
      <c r="F9" t="s">
        <v>138</v>
      </c>
      <c r="H9" s="41">
        <v>19297</v>
      </c>
    </row>
    <row r="10" spans="1:11" x14ac:dyDescent="0.4">
      <c r="E10" s="21" t="s">
        <v>266</v>
      </c>
      <c r="F10" t="s">
        <v>211</v>
      </c>
      <c r="H10" s="41">
        <v>5700</v>
      </c>
    </row>
    <row r="11" spans="1:11" x14ac:dyDescent="0.4">
      <c r="E11" s="21" t="s">
        <v>328</v>
      </c>
      <c r="F11" t="s">
        <v>296</v>
      </c>
      <c r="H11" s="41">
        <v>-7025</v>
      </c>
    </row>
    <row r="12" spans="1:11" x14ac:dyDescent="0.4">
      <c r="F12" s="10"/>
      <c r="G12" s="10"/>
      <c r="H12" s="44"/>
    </row>
    <row r="18" spans="5:8" x14ac:dyDescent="0.4">
      <c r="E18" s="135" t="s">
        <v>260</v>
      </c>
      <c r="F18" s="136"/>
      <c r="G18" s="135"/>
      <c r="H18" s="137">
        <f>SUM(H9:H17)</f>
        <v>17972</v>
      </c>
    </row>
    <row r="20" spans="5:8" x14ac:dyDescent="0.4">
      <c r="E20" s="138" t="s">
        <v>135</v>
      </c>
      <c r="F20" s="138"/>
      <c r="G20" s="138"/>
      <c r="H20" s="139">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074218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Status'!C:K,8,FALSE)</f>
        <v>Complete</v>
      </c>
      <c r="G4" s="11" t="str">
        <f>VLOOKUP(A4,'Project Status'!C:L,9,FALSE)</f>
        <v>Finalized</v>
      </c>
      <c r="H4" s="88">
        <f>VLOOKUP(A4,'Project Status'!C:N,11,FALSE)</f>
        <v>400000</v>
      </c>
      <c r="I4" s="172">
        <f>VLOOKUP(A4,'Project Status'!C:O,13,FALSE)</f>
        <v>450775</v>
      </c>
    </row>
    <row r="8" spans="1:11" x14ac:dyDescent="0.4">
      <c r="E8" s="40" t="s">
        <v>123</v>
      </c>
    </row>
    <row r="9" spans="1:11" x14ac:dyDescent="0.4">
      <c r="E9" s="21" t="s">
        <v>295</v>
      </c>
      <c r="F9" t="s">
        <v>138</v>
      </c>
      <c r="H9" s="41">
        <v>483440</v>
      </c>
    </row>
    <row r="10" spans="1:11" x14ac:dyDescent="0.4">
      <c r="E10" s="21" t="s">
        <v>360</v>
      </c>
      <c r="F10" t="s">
        <v>370</v>
      </c>
      <c r="H10" s="41">
        <v>-32665</v>
      </c>
    </row>
    <row r="12" spans="1:11" x14ac:dyDescent="0.4">
      <c r="F12" s="10"/>
      <c r="G12" s="10"/>
      <c r="H12" s="44"/>
    </row>
    <row r="18" spans="5:8" x14ac:dyDescent="0.4">
      <c r="E18" s="135" t="s">
        <v>260</v>
      </c>
      <c r="F18" s="136"/>
      <c r="G18" s="135"/>
      <c r="H18" s="137">
        <f>SUM(H9:H17)</f>
        <v>450775</v>
      </c>
    </row>
    <row r="20" spans="5:8" x14ac:dyDescent="0.4">
      <c r="E20" s="138" t="s">
        <v>135</v>
      </c>
      <c r="F20" s="138"/>
      <c r="G20" s="138"/>
      <c r="H20" s="139">
        <f>I4-H18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6.3046875" bestFit="1" customWidth="1"/>
    <col min="6" max="6" width="7"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Status'!C:K,8,FALSE)</f>
        <v>Complete</v>
      </c>
      <c r="G4" s="11" t="str">
        <f>VLOOKUP(A4,'Project Status'!C:L,9,FALSE)</f>
        <v>Finalized</v>
      </c>
      <c r="H4" s="88">
        <f>VLOOKUP(A4,'Project Status'!C:N,11,FALSE)</f>
        <v>24000</v>
      </c>
      <c r="I4" s="172">
        <f>VLOOKUP(A4,'Project Status'!C:O,13,FALSE)</f>
        <v>24000</v>
      </c>
    </row>
    <row r="8" spans="1:11" x14ac:dyDescent="0.4">
      <c r="E8" s="40" t="s">
        <v>123</v>
      </c>
    </row>
    <row r="9" spans="1:11" x14ac:dyDescent="0.4">
      <c r="E9" s="21" t="s">
        <v>317</v>
      </c>
      <c r="F9" t="s">
        <v>138</v>
      </c>
      <c r="H9" s="41">
        <v>24000</v>
      </c>
    </row>
    <row r="10" spans="1:11" x14ac:dyDescent="0.4">
      <c r="E10" s="21"/>
      <c r="H10" s="41"/>
    </row>
    <row r="12" spans="1:11" x14ac:dyDescent="0.4">
      <c r="F12" s="10"/>
      <c r="G12" s="10"/>
      <c r="H12" s="44"/>
    </row>
    <row r="18" spans="5:8" x14ac:dyDescent="0.4">
      <c r="E18" s="135" t="s">
        <v>260</v>
      </c>
      <c r="F18" s="136"/>
      <c r="G18" s="135"/>
      <c r="H18" s="137">
        <f>SUM(H9:H17)</f>
        <v>24000</v>
      </c>
    </row>
    <row r="20" spans="5:8" x14ac:dyDescent="0.4">
      <c r="E20" s="138" t="s">
        <v>135</v>
      </c>
      <c r="F20" s="138"/>
      <c r="G20" s="138"/>
      <c r="H20" s="139">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S30"/>
  <sheetViews>
    <sheetView topLeftCell="D1" zoomScaleNormal="100" workbookViewId="0">
      <selection activeCell="D92" sqref="D92"/>
    </sheetView>
  </sheetViews>
  <sheetFormatPr defaultRowHeight="14.6" x14ac:dyDescent="0.4"/>
  <cols>
    <col min="1" max="1" width="21.07421875" bestFit="1" customWidth="1"/>
    <col min="2" max="2" width="12" bestFit="1" customWidth="1"/>
    <col min="3" max="3" width="13.53515625" bestFit="1" customWidth="1"/>
    <col min="5" max="5" width="21.07421875" bestFit="1" customWidth="1"/>
    <col min="6" max="6" width="12" bestFit="1" customWidth="1"/>
    <col min="7" max="7" width="13.53515625" bestFit="1" customWidth="1"/>
    <col min="9" max="9" width="21.07421875" bestFit="1" customWidth="1"/>
    <col min="10" max="10" width="12" bestFit="1" customWidth="1"/>
    <col min="11" max="11" width="13.53515625" bestFit="1" customWidth="1"/>
    <col min="13" max="13" width="29.69140625" customWidth="1"/>
    <col min="14" max="14" width="12.53515625" customWidth="1"/>
    <col min="15" max="15" width="13.53515625" customWidth="1"/>
    <col min="16" max="16" width="8.84375" customWidth="1"/>
    <col min="17" max="17" width="29.69140625" customWidth="1"/>
    <col min="18" max="18" width="12.53515625" customWidth="1"/>
    <col min="19" max="19" width="13.53515625" customWidth="1"/>
  </cols>
  <sheetData>
    <row r="1" spans="1:19" s="8" customFormat="1" x14ac:dyDescent="0.4">
      <c r="A1" s="10" t="s">
        <v>206</v>
      </c>
      <c r="E1" s="10" t="s">
        <v>205</v>
      </c>
      <c r="I1" s="10" t="s">
        <v>315</v>
      </c>
      <c r="M1" s="10" t="s">
        <v>424</v>
      </c>
      <c r="Q1" s="10" t="s">
        <v>597</v>
      </c>
    </row>
    <row r="2" spans="1:19" s="8" customFormat="1" x14ac:dyDescent="0.4">
      <c r="A2" s="19"/>
      <c r="B2" s="33"/>
      <c r="E2" s="19"/>
      <c r="F2" s="33"/>
      <c r="I2" s="19"/>
      <c r="J2" s="33"/>
      <c r="M2" s="19"/>
      <c r="N2" s="33"/>
      <c r="Q2" s="19"/>
      <c r="R2" s="33"/>
    </row>
    <row r="3" spans="1:19" ht="14.7" customHeight="1" x14ac:dyDescent="0.4">
      <c r="A3" s="8"/>
      <c r="C3" s="12">
        <v>3.41</v>
      </c>
      <c r="E3" s="8"/>
      <c r="G3" s="12">
        <v>3.97</v>
      </c>
      <c r="I3" s="8"/>
      <c r="K3" s="12">
        <v>4.54</v>
      </c>
      <c r="L3" s="86"/>
      <c r="M3" s="8"/>
      <c r="O3" s="12">
        <v>4.54</v>
      </c>
      <c r="Q3" s="8"/>
      <c r="S3" s="12">
        <f>O3*1.03</f>
        <v>4.6762000000000006</v>
      </c>
    </row>
    <row r="4" spans="1:19" x14ac:dyDescent="0.4">
      <c r="A4" s="13" t="s">
        <v>86</v>
      </c>
      <c r="B4" s="14" t="s">
        <v>99</v>
      </c>
      <c r="C4" s="14" t="s">
        <v>88</v>
      </c>
      <c r="E4" s="13" t="s">
        <v>86</v>
      </c>
      <c r="F4" s="14" t="s">
        <v>99</v>
      </c>
      <c r="G4" s="14" t="s">
        <v>88</v>
      </c>
      <c r="I4" s="13" t="s">
        <v>86</v>
      </c>
      <c r="J4" s="14" t="s">
        <v>99</v>
      </c>
      <c r="K4" s="14" t="s">
        <v>88</v>
      </c>
      <c r="M4" s="13" t="s">
        <v>86</v>
      </c>
      <c r="N4" s="14" t="s">
        <v>99</v>
      </c>
      <c r="O4" s="14" t="s">
        <v>88</v>
      </c>
      <c r="Q4" s="13" t="s">
        <v>86</v>
      </c>
      <c r="R4" s="14" t="s">
        <v>99</v>
      </c>
      <c r="S4" s="14" t="s">
        <v>88</v>
      </c>
    </row>
    <row r="5" spans="1:19" x14ac:dyDescent="0.4">
      <c r="A5" t="s">
        <v>192</v>
      </c>
      <c r="B5" s="15">
        <v>1075461.7320675128</v>
      </c>
      <c r="C5" s="290">
        <v>3663826</v>
      </c>
      <c r="E5" t="s">
        <v>192</v>
      </c>
      <c r="F5" s="15">
        <v>1059147</v>
      </c>
      <c r="G5" s="290">
        <f>F5*$G$3</f>
        <v>4204813.59</v>
      </c>
      <c r="I5" t="s">
        <v>192</v>
      </c>
      <c r="J5" s="15">
        <v>1074720.0751011034</v>
      </c>
      <c r="K5" s="290">
        <f>J5*$K$3</f>
        <v>4879229.1409590095</v>
      </c>
      <c r="M5" t="s">
        <v>192</v>
      </c>
      <c r="N5" s="15">
        <v>1168519.7720314125</v>
      </c>
      <c r="O5" s="290">
        <f t="shared" ref="O5:O14" si="0">N5*$O$3</f>
        <v>5305079.7650226122</v>
      </c>
      <c r="Q5" t="s">
        <v>192</v>
      </c>
      <c r="R5" s="15"/>
      <c r="S5" s="290">
        <f t="shared" ref="S5:S14" si="1">R5*$O$3</f>
        <v>0</v>
      </c>
    </row>
    <row r="6" spans="1:19" x14ac:dyDescent="0.4">
      <c r="A6" t="s">
        <v>194</v>
      </c>
      <c r="B6" s="15">
        <v>121421.42689276834</v>
      </c>
      <c r="C6" s="290">
        <v>413652</v>
      </c>
      <c r="E6" t="s">
        <v>194</v>
      </c>
      <c r="F6" s="15">
        <v>121421</v>
      </c>
      <c r="G6" s="290">
        <f t="shared" ref="G6:G13" si="2">F6*$G$3</f>
        <v>482041.37</v>
      </c>
      <c r="I6" t="s">
        <v>194</v>
      </c>
      <c r="J6" s="15">
        <v>132408.79114461056</v>
      </c>
      <c r="K6" s="290">
        <f t="shared" ref="K6:K13" si="3">J6*$K$3</f>
        <v>601135.91179653199</v>
      </c>
      <c r="M6" t="s">
        <v>194</v>
      </c>
      <c r="N6" s="15">
        <v>121417.21100126416</v>
      </c>
      <c r="O6" s="290">
        <f t="shared" si="0"/>
        <v>551234.13794573932</v>
      </c>
      <c r="Q6" t="s">
        <v>194</v>
      </c>
      <c r="R6" s="15"/>
      <c r="S6" s="290">
        <f t="shared" si="1"/>
        <v>0</v>
      </c>
    </row>
    <row r="7" spans="1:19" x14ac:dyDescent="0.4">
      <c r="A7" t="s">
        <v>195</v>
      </c>
      <c r="B7" s="15">
        <v>57814.730923479161</v>
      </c>
      <c r="C7" s="290">
        <v>196960</v>
      </c>
      <c r="E7" t="s">
        <v>195</v>
      </c>
      <c r="F7" s="15">
        <v>58263</v>
      </c>
      <c r="G7" s="290">
        <f t="shared" si="2"/>
        <v>231304.11000000002</v>
      </c>
      <c r="I7" t="s">
        <v>195</v>
      </c>
      <c r="J7" s="15">
        <v>58263.192463850428</v>
      </c>
      <c r="K7" s="290">
        <f t="shared" si="3"/>
        <v>264514.89378588094</v>
      </c>
      <c r="M7" t="s">
        <v>425</v>
      </c>
      <c r="N7" s="15">
        <v>42638.088851024644</v>
      </c>
      <c r="O7" s="290">
        <f t="shared" si="0"/>
        <v>193576.92338365188</v>
      </c>
      <c r="Q7" t="s">
        <v>425</v>
      </c>
      <c r="R7" s="15"/>
      <c r="S7" s="290">
        <f t="shared" si="1"/>
        <v>0</v>
      </c>
    </row>
    <row r="8" spans="1:19" x14ac:dyDescent="0.4">
      <c r="A8" t="s">
        <v>196</v>
      </c>
      <c r="B8" s="15">
        <v>537962.332719445</v>
      </c>
      <c r="C8" s="290">
        <v>1832701</v>
      </c>
      <c r="E8" t="s">
        <v>196</v>
      </c>
      <c r="F8" s="15">
        <v>552478</v>
      </c>
      <c r="G8" s="290">
        <f t="shared" si="2"/>
        <v>2193337.66</v>
      </c>
      <c r="I8" t="s">
        <v>196</v>
      </c>
      <c r="J8" s="15">
        <v>548364.43485711806</v>
      </c>
      <c r="K8" s="290">
        <f t="shared" si="3"/>
        <v>2489574.534251316</v>
      </c>
      <c r="M8" t="s">
        <v>195</v>
      </c>
      <c r="N8" s="15">
        <v>58286.961475850505</v>
      </c>
      <c r="O8" s="290">
        <f t="shared" si="0"/>
        <v>264622.80510036129</v>
      </c>
      <c r="Q8" t="s">
        <v>195</v>
      </c>
      <c r="R8" s="15"/>
      <c r="S8" s="290">
        <f t="shared" si="1"/>
        <v>0</v>
      </c>
    </row>
    <row r="9" spans="1:19" x14ac:dyDescent="0.4">
      <c r="A9" t="s">
        <v>197</v>
      </c>
      <c r="B9" s="15">
        <v>120155.48460329951</v>
      </c>
      <c r="C9" s="290">
        <v>409339</v>
      </c>
      <c r="E9" t="s">
        <v>197</v>
      </c>
      <c r="F9" s="15">
        <v>120155</v>
      </c>
      <c r="G9" s="290">
        <f t="shared" si="2"/>
        <v>477015.35000000003</v>
      </c>
      <c r="I9" t="s">
        <v>197</v>
      </c>
      <c r="J9" s="15">
        <v>119265.35530160108</v>
      </c>
      <c r="K9" s="290">
        <f>J9*$K$3</f>
        <v>541464.71306926897</v>
      </c>
      <c r="M9" t="s">
        <v>196</v>
      </c>
      <c r="N9" s="15">
        <v>490439.88505166722</v>
      </c>
      <c r="O9" s="290">
        <f t="shared" si="0"/>
        <v>2226597.0781345693</v>
      </c>
      <c r="Q9" t="s">
        <v>196</v>
      </c>
      <c r="R9" s="15"/>
      <c r="S9" s="290">
        <f t="shared" si="1"/>
        <v>0</v>
      </c>
    </row>
    <row r="10" spans="1:19" x14ac:dyDescent="0.4">
      <c r="A10" t="s">
        <v>199</v>
      </c>
      <c r="B10" s="15">
        <v>280022.39987629937</v>
      </c>
      <c r="C10" s="290">
        <v>953965</v>
      </c>
      <c r="E10" t="s">
        <v>199</v>
      </c>
      <c r="F10" s="15">
        <v>265674</v>
      </c>
      <c r="G10" s="290">
        <f t="shared" si="2"/>
        <v>1054725.78</v>
      </c>
      <c r="I10" t="s">
        <v>199</v>
      </c>
      <c r="J10" s="15">
        <v>315635.41302808712</v>
      </c>
      <c r="K10" s="290">
        <f t="shared" si="3"/>
        <v>1432984.7751475156</v>
      </c>
      <c r="M10" t="s">
        <v>197</v>
      </c>
      <c r="N10" s="15">
        <v>119265.35530160108</v>
      </c>
      <c r="O10" s="290">
        <f t="shared" si="0"/>
        <v>541464.71306926897</v>
      </c>
      <c r="Q10" t="s">
        <v>197</v>
      </c>
      <c r="R10" s="15"/>
      <c r="S10" s="290">
        <f t="shared" si="1"/>
        <v>0</v>
      </c>
    </row>
    <row r="11" spans="1:19" x14ac:dyDescent="0.4">
      <c r="A11" t="s">
        <v>198</v>
      </c>
      <c r="B11" s="15">
        <v>106166.70000000001</v>
      </c>
      <c r="C11" s="290">
        <v>361683</v>
      </c>
      <c r="E11" t="s">
        <v>198</v>
      </c>
      <c r="F11" s="15">
        <v>105746</v>
      </c>
      <c r="G11" s="290">
        <f t="shared" si="2"/>
        <v>419811.62</v>
      </c>
      <c r="I11" t="s">
        <v>198</v>
      </c>
      <c r="J11" s="15">
        <v>105746.41</v>
      </c>
      <c r="K11" s="290">
        <f t="shared" si="3"/>
        <v>480088.70140000002</v>
      </c>
      <c r="M11" t="s">
        <v>198</v>
      </c>
      <c r="N11" s="15">
        <v>105746.45000000003</v>
      </c>
      <c r="O11" s="290">
        <f t="shared" si="0"/>
        <v>480088.88300000015</v>
      </c>
      <c r="Q11" t="s">
        <v>198</v>
      </c>
      <c r="R11" s="15"/>
      <c r="S11" s="290">
        <f t="shared" si="1"/>
        <v>0</v>
      </c>
    </row>
    <row r="12" spans="1:19" x14ac:dyDescent="0.4">
      <c r="A12" t="s">
        <v>193</v>
      </c>
      <c r="B12" s="15">
        <v>59008.361666666671</v>
      </c>
      <c r="C12" s="290">
        <v>201027</v>
      </c>
      <c r="E12" t="s">
        <v>193</v>
      </c>
      <c r="F12" s="15">
        <v>99140</v>
      </c>
      <c r="G12" s="290">
        <f t="shared" si="2"/>
        <v>393585.80000000005</v>
      </c>
      <c r="I12" t="s">
        <v>193</v>
      </c>
      <c r="J12" s="15">
        <v>99598.392846122995</v>
      </c>
      <c r="K12" s="290">
        <f t="shared" si="3"/>
        <v>452176.70352139842</v>
      </c>
      <c r="M12" t="s">
        <v>193</v>
      </c>
      <c r="N12" s="15">
        <v>99610.067310203041</v>
      </c>
      <c r="O12" s="290">
        <f t="shared" si="0"/>
        <v>452229.70558832178</v>
      </c>
      <c r="Q12" t="s">
        <v>193</v>
      </c>
      <c r="R12" s="15"/>
      <c r="S12" s="290">
        <f t="shared" si="1"/>
        <v>0</v>
      </c>
    </row>
    <row r="13" spans="1:19" x14ac:dyDescent="0.4">
      <c r="A13" t="s">
        <v>200</v>
      </c>
      <c r="B13" s="15">
        <v>390796.88477064227</v>
      </c>
      <c r="C13" s="290">
        <v>1331346</v>
      </c>
      <c r="E13" t="s">
        <v>200</v>
      </c>
      <c r="F13" s="15">
        <v>396133</v>
      </c>
      <c r="G13" s="290">
        <f t="shared" si="2"/>
        <v>1572648.01</v>
      </c>
      <c r="I13" t="s">
        <v>200</v>
      </c>
      <c r="J13" s="15">
        <v>377998.91813531332</v>
      </c>
      <c r="K13" s="290">
        <f t="shared" si="3"/>
        <v>1716115.0883343224</v>
      </c>
      <c r="M13" t="s">
        <v>200</v>
      </c>
      <c r="N13" s="15">
        <v>381580.02507269708</v>
      </c>
      <c r="O13" s="290">
        <f t="shared" si="0"/>
        <v>1732373.3138300448</v>
      </c>
      <c r="Q13" t="s">
        <v>200</v>
      </c>
      <c r="R13" s="15"/>
      <c r="S13" s="290">
        <f t="shared" si="1"/>
        <v>0</v>
      </c>
    </row>
    <row r="14" spans="1:19" x14ac:dyDescent="0.4">
      <c r="B14" s="15"/>
      <c r="C14" s="290"/>
      <c r="F14" s="15"/>
      <c r="G14" s="290"/>
      <c r="J14" s="15"/>
      <c r="K14" s="290"/>
      <c r="M14" t="s">
        <v>199</v>
      </c>
      <c r="N14" s="15">
        <v>334042.36306245415</v>
      </c>
      <c r="O14" s="290">
        <f t="shared" si="0"/>
        <v>1516552.328303542</v>
      </c>
      <c r="Q14" t="s">
        <v>199</v>
      </c>
      <c r="R14" s="15"/>
      <c r="S14" s="290">
        <f t="shared" si="1"/>
        <v>0</v>
      </c>
    </row>
    <row r="15" spans="1:19" ht="15" thickBot="1" x14ac:dyDescent="0.45">
      <c r="A15" s="8"/>
      <c r="B15" s="17">
        <f>SUM(B5:B13)</f>
        <v>2748810.0535201132</v>
      </c>
      <c r="C15" s="291">
        <f>SUM(C5:C13)</f>
        <v>9364499</v>
      </c>
      <c r="E15" s="8"/>
      <c r="F15" s="17">
        <f>SUM(F5:F13)</f>
        <v>2778157</v>
      </c>
      <c r="G15" s="291">
        <f>SUM(G5:G13)</f>
        <v>11029283.289999999</v>
      </c>
      <c r="I15" s="8"/>
      <c r="J15" s="17">
        <f>SUM(J5:J13)</f>
        <v>2832000.9828778072</v>
      </c>
      <c r="K15" s="291">
        <f>SUM(K5:K13)</f>
        <v>12857284.462265246</v>
      </c>
      <c r="M15" s="8"/>
      <c r="N15" s="17">
        <f>SUM(N5:N14)</f>
        <v>2921546.1791581744</v>
      </c>
      <c r="O15" s="291">
        <f>SUM(O5:O14)</f>
        <v>13263819.65337811</v>
      </c>
      <c r="Q15" s="8"/>
      <c r="R15" s="17">
        <f>SUM(R5:R14)</f>
        <v>0</v>
      </c>
      <c r="S15" s="291">
        <f>SUM(S5:S14)</f>
        <v>0</v>
      </c>
    </row>
    <row r="18" spans="1:19" x14ac:dyDescent="0.4">
      <c r="A18" t="s">
        <v>88</v>
      </c>
      <c r="C18" s="34">
        <f>C15</f>
        <v>9364499</v>
      </c>
      <c r="E18" t="s">
        <v>88</v>
      </c>
      <c r="G18" s="34">
        <f>G15</f>
        <v>11029283.289999999</v>
      </c>
      <c r="I18" t="s">
        <v>88</v>
      </c>
      <c r="K18" s="34">
        <f>K15</f>
        <v>12857284.462265246</v>
      </c>
      <c r="M18" t="s">
        <v>88</v>
      </c>
      <c r="O18" s="34">
        <f>O15</f>
        <v>13263819.65337811</v>
      </c>
      <c r="Q18" t="s">
        <v>88</v>
      </c>
      <c r="S18" s="34">
        <f>S15</f>
        <v>0</v>
      </c>
    </row>
    <row r="19" spans="1:19" x14ac:dyDescent="0.4">
      <c r="A19" t="s">
        <v>207</v>
      </c>
      <c r="C19" s="34">
        <f>'Project Status'!S91</f>
        <v>8797286.2599999998</v>
      </c>
      <c r="E19" t="s">
        <v>207</v>
      </c>
      <c r="G19" s="34">
        <f>'Project Status'!T91</f>
        <v>11427472.939999999</v>
      </c>
      <c r="I19" t="s">
        <v>207</v>
      </c>
      <c r="K19" s="34">
        <f>'Project Status'!U91</f>
        <v>10171078.440000001</v>
      </c>
      <c r="M19" t="s">
        <v>207</v>
      </c>
      <c r="O19" s="34">
        <f>'Project Status'!X91</f>
        <v>8851408.1400000006</v>
      </c>
      <c r="Q19" t="s">
        <v>207</v>
      </c>
      <c r="S19" s="34">
        <f>'Project Status'!AB91</f>
        <v>0</v>
      </c>
    </row>
    <row r="20" spans="1:19" ht="15" thickBot="1" x14ac:dyDescent="0.45">
      <c r="A20" t="s">
        <v>122</v>
      </c>
      <c r="C20" s="66">
        <f>C18-C19</f>
        <v>567212.74000000022</v>
      </c>
      <c r="E20" t="s">
        <v>122</v>
      </c>
      <c r="G20" s="66">
        <f>G18-G19</f>
        <v>-398189.65000000037</v>
      </c>
      <c r="I20" t="s">
        <v>122</v>
      </c>
      <c r="K20" s="66">
        <f>K18-K19</f>
        <v>2686206.0222652443</v>
      </c>
      <c r="M20" t="s">
        <v>122</v>
      </c>
      <c r="O20" s="66">
        <f>O18-O19</f>
        <v>4412411.5133781098</v>
      </c>
      <c r="Q20" t="s">
        <v>122</v>
      </c>
      <c r="S20" s="66">
        <f>S18-S19</f>
        <v>0</v>
      </c>
    </row>
    <row r="25" spans="1:19" x14ac:dyDescent="0.4">
      <c r="A25" s="18"/>
      <c r="E25" s="18"/>
      <c r="I25" s="18"/>
      <c r="M25" s="18"/>
      <c r="N25" s="146"/>
      <c r="Q25" s="18"/>
      <c r="R25" s="146"/>
    </row>
    <row r="27" spans="1:19" x14ac:dyDescent="0.4">
      <c r="O27" t="b">
        <f>(C15+G15+K15+O15)='Summary_for Web-1'!C16</f>
        <v>1</v>
      </c>
    </row>
    <row r="28" spans="1:19" x14ac:dyDescent="0.4">
      <c r="O28" s="16"/>
      <c r="S28" s="16"/>
    </row>
    <row r="29" spans="1:19" x14ac:dyDescent="0.4">
      <c r="O29" s="34"/>
      <c r="S29" s="34"/>
    </row>
    <row r="30" spans="1:19" x14ac:dyDescent="0.4">
      <c r="O30" s="34"/>
      <c r="S30" s="34"/>
    </row>
  </sheetData>
  <sortState xmlns:xlrd2="http://schemas.microsoft.com/office/spreadsheetml/2017/richdata2" ref="M5:O14">
    <sortCondition ref="M5:M14"/>
  </sortState>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0.3046875" bestFit="1" customWidth="1"/>
    <col min="6" max="6" width="17.53515625"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Status'!C:K,8,FALSE)</f>
        <v>Complete</v>
      </c>
      <c r="G4" s="11" t="str">
        <f>VLOOKUP(A4,'Project Status'!C:L,9,FALSE)</f>
        <v>Finalized</v>
      </c>
      <c r="H4" s="88">
        <f>VLOOKUP(A4,'Project Status'!C:N,11,FALSE)</f>
        <v>24000</v>
      </c>
      <c r="I4" s="172">
        <f>VLOOKUP(A4,'Project Status'!C:O,13,FALSE)</f>
        <v>24000</v>
      </c>
    </row>
    <row r="8" spans="1:11" x14ac:dyDescent="0.4">
      <c r="E8" s="40" t="s">
        <v>123</v>
      </c>
    </row>
    <row r="9" spans="1:11" x14ac:dyDescent="0.4">
      <c r="E9" s="21" t="s">
        <v>317</v>
      </c>
      <c r="F9" t="s">
        <v>138</v>
      </c>
      <c r="H9" s="41">
        <v>24000</v>
      </c>
    </row>
    <row r="10" spans="1:11" x14ac:dyDescent="0.4">
      <c r="E10" s="21"/>
      <c r="H10" s="41"/>
    </row>
    <row r="12" spans="1:11" x14ac:dyDescent="0.4">
      <c r="F12" s="10"/>
      <c r="G12" s="10"/>
      <c r="H12" s="44"/>
    </row>
    <row r="18" spans="5:8" x14ac:dyDescent="0.4">
      <c r="E18" s="135" t="s">
        <v>260</v>
      </c>
      <c r="F18" s="136"/>
      <c r="G18" s="135"/>
      <c r="H18" s="137">
        <f>SUM(H9:H17)</f>
        <v>24000</v>
      </c>
    </row>
    <row r="20" spans="5:8" x14ac:dyDescent="0.4">
      <c r="E20" s="138" t="s">
        <v>135</v>
      </c>
      <c r="F20" s="138"/>
      <c r="G20" s="138"/>
      <c r="H20" s="139">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27.69140625" bestFit="1" customWidth="1"/>
    <col min="6" max="6" width="7"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 (Design Services)</v>
      </c>
      <c r="F4" s="11" t="str">
        <f>VLOOKUP(A4,'Project Status'!C:K,8,FALSE)</f>
        <v>Complete</v>
      </c>
      <c r="G4" s="11" t="str">
        <f>VLOOKUP(A4,'Project Status'!C:L,9,FALSE)</f>
        <v>Finalized</v>
      </c>
      <c r="H4" s="88">
        <f>VLOOKUP(A4,'Project Status'!C:N,11,FALSE)</f>
        <v>24000</v>
      </c>
      <c r="I4" s="172">
        <f>VLOOKUP(A4,'Project Status'!C:O,13,FALSE)</f>
        <v>24000</v>
      </c>
    </row>
    <row r="8" spans="1:11" x14ac:dyDescent="0.4">
      <c r="E8" s="40" t="s">
        <v>123</v>
      </c>
    </row>
    <row r="9" spans="1:11" x14ac:dyDescent="0.4">
      <c r="E9" s="21" t="s">
        <v>317</v>
      </c>
      <c r="F9" t="s">
        <v>138</v>
      </c>
      <c r="H9" s="41">
        <v>24000</v>
      </c>
    </row>
    <row r="10" spans="1:11" x14ac:dyDescent="0.4">
      <c r="E10" s="21"/>
      <c r="H10" s="41"/>
    </row>
    <row r="12" spans="1:11" x14ac:dyDescent="0.4">
      <c r="F12" s="10"/>
      <c r="G12" s="10"/>
      <c r="H12" s="44"/>
    </row>
    <row r="18" spans="5:8" x14ac:dyDescent="0.4">
      <c r="E18" s="135" t="s">
        <v>260</v>
      </c>
      <c r="F18" s="136"/>
      <c r="G18" s="135"/>
      <c r="H18" s="137">
        <f>SUM(H9:H17)</f>
        <v>24000</v>
      </c>
    </row>
    <row r="20" spans="5:8" x14ac:dyDescent="0.4">
      <c r="E20" s="138" t="s">
        <v>135</v>
      </c>
      <c r="F20" s="138"/>
      <c r="G20" s="138"/>
      <c r="H20" s="139">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1"/>
  </sheetPr>
  <dimension ref="A1:K20"/>
  <sheetViews>
    <sheetView zoomScale="90" zoomScaleNormal="90" workbookViewId="0">
      <selection activeCell="K1" sqref="K1"/>
    </sheetView>
  </sheetViews>
  <sheetFormatPr defaultRowHeight="14.6" x14ac:dyDescent="0.4"/>
  <cols>
    <col min="1" max="1" width="7.84375" bestFit="1" customWidth="1"/>
    <col min="2" max="2" width="5.3046875" bestFit="1" customWidth="1"/>
    <col min="3" max="3" width="10.3046875" bestFit="1" customWidth="1"/>
    <col min="4" max="4" width="28.3046875" bestFit="1" customWidth="1"/>
    <col min="5" max="5" width="50.3046875" bestFit="1" customWidth="1"/>
    <col min="6" max="6" width="11.69140625" bestFit="1" customWidth="1"/>
    <col min="7" max="7" width="10.3046875" bestFit="1" customWidth="1"/>
    <col min="8" max="9" width="16.843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20772</v>
      </c>
      <c r="B4" s="11">
        <f>VLOOKUP(A4,'Project Status'!C:D,2,FALSE)</f>
        <v>8675</v>
      </c>
      <c r="C4" s="11" t="str">
        <f>VLOOKUP(A4,'Project Status'!C:E,3,FALSE)</f>
        <v>CP_400235</v>
      </c>
      <c r="D4" s="11" t="str">
        <f>VLOOKUP(A4,'Project Status'!C:F,4,FALSE)</f>
        <v>20100 - Owen: Business Affairs</v>
      </c>
      <c r="E4" s="11" t="str">
        <f>VLOOKUP(A4,'Project Status'!C:I,7,FALSE)</f>
        <v>OGSM Old Mechanical- Slate Roof &amp; Window Replacement</v>
      </c>
      <c r="F4" s="11" t="str">
        <f>VLOOKUP(A4,'Project Status'!C:K,9,FALSE)</f>
        <v>Financial Closeout</v>
      </c>
      <c r="G4" s="11" t="str">
        <f>VLOOKUP(A4,'Project Status'!C:L,10,FALSE)</f>
        <v>Ben Bedock</v>
      </c>
      <c r="H4" s="88">
        <f>VLOOKUP(A4,'Project Status'!C:N,12,FALSE)</f>
        <v>3200000</v>
      </c>
      <c r="I4" s="172">
        <f>VLOOKUP(A4,'Project Status'!C:Q,15,FALSE)</f>
        <v>2977388.14</v>
      </c>
    </row>
    <row r="8" spans="1:11" x14ac:dyDescent="0.4">
      <c r="E8" s="40" t="s">
        <v>123</v>
      </c>
    </row>
    <row r="9" spans="1:11" x14ac:dyDescent="0.4">
      <c r="E9" s="21" t="s">
        <v>396</v>
      </c>
      <c r="F9" t="s">
        <v>138</v>
      </c>
      <c r="H9" s="41">
        <v>1600000</v>
      </c>
    </row>
    <row r="10" spans="1:11" x14ac:dyDescent="0.4">
      <c r="E10" s="21" t="s">
        <v>409</v>
      </c>
      <c r="F10" t="s">
        <v>138</v>
      </c>
      <c r="H10" s="41">
        <v>1600000</v>
      </c>
    </row>
    <row r="11" spans="1:11" x14ac:dyDescent="0.4">
      <c r="E11" s="21" t="s">
        <v>610</v>
      </c>
      <c r="F11" t="s">
        <v>296</v>
      </c>
      <c r="H11" s="292">
        <v>-222611.86</v>
      </c>
    </row>
    <row r="12" spans="1:11" x14ac:dyDescent="0.4">
      <c r="F12" s="10"/>
      <c r="G12" s="10"/>
      <c r="H12" s="44"/>
    </row>
    <row r="18" spans="5:8" x14ac:dyDescent="0.4">
      <c r="E18" s="135" t="s">
        <v>260</v>
      </c>
      <c r="F18" s="136"/>
      <c r="G18" s="135"/>
      <c r="H18" s="137">
        <f>SUM(H9:H17)</f>
        <v>2977388.14</v>
      </c>
    </row>
    <row r="20" spans="5:8" x14ac:dyDescent="0.4">
      <c r="E20" s="138" t="s">
        <v>135</v>
      </c>
      <c r="F20" s="138"/>
      <c r="G20" s="138"/>
      <c r="H20" s="139">
        <f>I4-H18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rgb="FFFFFF93"/>
  </sheetPr>
  <dimension ref="A1:K25"/>
  <sheetViews>
    <sheetView zoomScale="90" zoomScaleNormal="90" workbookViewId="0">
      <selection activeCell="D92" sqref="D92"/>
    </sheetView>
  </sheetViews>
  <sheetFormatPr defaultRowHeight="14.6" x14ac:dyDescent="0.4"/>
  <cols>
    <col min="1" max="1" width="7.84375" bestFit="1" customWidth="1"/>
    <col min="2" max="2" width="10.84375" customWidth="1"/>
    <col min="3" max="3" width="10.3046875" bestFit="1" customWidth="1"/>
    <col min="4" max="4" width="37.69140625" bestFit="1" customWidth="1"/>
    <col min="5" max="5" width="38.3046875" bestFit="1" customWidth="1"/>
    <col min="6" max="6" width="30.53515625" bestFit="1" customWidth="1"/>
    <col min="7" max="7" width="10.3046875" bestFit="1" customWidth="1"/>
    <col min="8" max="9" width="16.30468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20811</v>
      </c>
      <c r="B4" s="11">
        <f>VLOOKUP(A4,'Project Status'!C:D,2,FALSE)</f>
        <v>8729</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Status'!C:K,9,FALSE)</f>
        <v>Financial Closeout</v>
      </c>
      <c r="G4" s="11" t="str">
        <f>VLOOKUP(A4,'Project Status'!C:L,10,FALSE)</f>
        <v>Ben Bedock</v>
      </c>
      <c r="H4" s="88">
        <f>VLOOKUP(A4,'Project Status'!C:N,12,FALSE)</f>
        <v>285233.27</v>
      </c>
      <c r="I4" s="172">
        <f>VLOOKUP(A4,'Project Status'!C:Q,15,FALSE)</f>
        <v>123523.71</v>
      </c>
    </row>
    <row r="8" spans="1:11" x14ac:dyDescent="0.4">
      <c r="E8" s="40" t="s">
        <v>123</v>
      </c>
    </row>
    <row r="9" spans="1:11" x14ac:dyDescent="0.4">
      <c r="E9" s="21" t="s">
        <v>383</v>
      </c>
      <c r="F9" t="s">
        <v>138</v>
      </c>
      <c r="H9" s="41">
        <v>285233.27</v>
      </c>
    </row>
    <row r="10" spans="1:11" x14ac:dyDescent="0.4">
      <c r="E10" s="21"/>
    </row>
    <row r="12" spans="1:11" x14ac:dyDescent="0.4">
      <c r="F12" s="10"/>
      <c r="G12" s="10"/>
      <c r="H12" s="44"/>
    </row>
    <row r="18" spans="2:8" x14ac:dyDescent="0.4">
      <c r="E18" s="135" t="s">
        <v>260</v>
      </c>
      <c r="F18" s="136"/>
      <c r="G18" s="135"/>
      <c r="H18" s="137">
        <f>SUM(H9:H17)</f>
        <v>285233.27</v>
      </c>
    </row>
    <row r="20" spans="2:8" x14ac:dyDescent="0.4">
      <c r="E20" s="138" t="s">
        <v>135</v>
      </c>
      <c r="F20" s="138"/>
      <c r="G20" s="138"/>
      <c r="H20" s="139">
        <f>H4-H18</f>
        <v>0</v>
      </c>
    </row>
    <row r="25" spans="2:8" x14ac:dyDescent="0.4">
      <c r="B25" t="s">
        <v>384</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28.69140625" bestFit="1" customWidth="1"/>
    <col min="6" max="6" width="6.53515625" bestFit="1" customWidth="1"/>
    <col min="7" max="7" width="11.3046875" bestFit="1" customWidth="1"/>
    <col min="8" max="9" width="16.30468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20812</v>
      </c>
      <c r="B4" s="11">
        <f>VLOOKUP(A4,'Project Status'!C:D,2,FALSE)</f>
        <v>8923</v>
      </c>
      <c r="C4" s="11" t="str">
        <f>VLOOKUP(A4,'Project Status'!C:E,3,FALSE)</f>
        <v>CP_400282</v>
      </c>
      <c r="D4" s="11" t="str">
        <f>VLOOKUP(A4,'Project Status'!C:F,4,FALSE)</f>
        <v>15000 - Engineering: Office of the Dean</v>
      </c>
      <c r="E4" s="11" t="str">
        <f>VLOOKUP(A4,'Project Status'!C:I,7,FALSE)</f>
        <v>1025 16th Avenue - Patio Repairs</v>
      </c>
      <c r="F4" s="11" t="str">
        <f>VLOOKUP(A4,'Project Status'!C:K,9,FALSE)</f>
        <v>Construction</v>
      </c>
      <c r="G4" s="11" t="str">
        <f>VLOOKUP(A4,'Project Status'!C:L,10,FALSE)</f>
        <v>Sean Rewers</v>
      </c>
      <c r="H4" s="88">
        <f>VLOOKUP(A4,'Project Status'!C:N,12,FALSE)</f>
        <v>486135</v>
      </c>
      <c r="I4" s="172">
        <f>VLOOKUP(A4,'Project Status'!C:Q,15,FALSE)</f>
        <v>142127</v>
      </c>
    </row>
    <row r="8" spans="1:11" x14ac:dyDescent="0.4">
      <c r="E8" s="40" t="s">
        <v>123</v>
      </c>
    </row>
    <row r="9" spans="1:11" x14ac:dyDescent="0.4">
      <c r="E9" s="21" t="s">
        <v>422</v>
      </c>
      <c r="F9" t="s">
        <v>138</v>
      </c>
      <c r="H9" s="41">
        <v>4500</v>
      </c>
    </row>
    <row r="10" spans="1:11" x14ac:dyDescent="0.4">
      <c r="E10" s="21" t="s">
        <v>422</v>
      </c>
      <c r="F10" t="s">
        <v>211</v>
      </c>
      <c r="H10" s="41">
        <v>34000</v>
      </c>
    </row>
    <row r="11" spans="1:11" x14ac:dyDescent="0.4">
      <c r="E11" s="21" t="s">
        <v>469</v>
      </c>
      <c r="F11" t="s">
        <v>145</v>
      </c>
      <c r="H11" s="41">
        <v>447635</v>
      </c>
    </row>
    <row r="12" spans="1:11" x14ac:dyDescent="0.4">
      <c r="F12" s="10"/>
      <c r="G12" s="10"/>
      <c r="H12" s="44"/>
    </row>
    <row r="18" spans="5:8" x14ac:dyDescent="0.4">
      <c r="E18" s="135" t="s">
        <v>260</v>
      </c>
      <c r="F18" s="136"/>
      <c r="G18" s="135"/>
      <c r="H18" s="137">
        <f>SUM(H9:H17)</f>
        <v>486135</v>
      </c>
    </row>
    <row r="20" spans="5:8" x14ac:dyDescent="0.4">
      <c r="E20" s="138" t="s">
        <v>135</v>
      </c>
      <c r="F20" s="138"/>
      <c r="G20" s="138"/>
      <c r="H20" s="139">
        <f>H4-H18</f>
        <v>0</v>
      </c>
    </row>
  </sheetData>
  <phoneticPr fontId="5" type="noConversion"/>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9.69140625" bestFit="1" customWidth="1"/>
    <col min="6" max="6" width="11.69140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Status'!C:K,9,FALSE)</f>
        <v>Construction Closeout</v>
      </c>
      <c r="G4" s="11" t="str">
        <f>VLOOKUP(A4,'Project Status'!C:L,10,FALSE)</f>
        <v>Ben Bedock</v>
      </c>
      <c r="H4" s="88">
        <f>VLOOKUP(A4,'Project Status'!C:N,12,FALSE)</f>
        <v>499184</v>
      </c>
      <c r="I4" s="172">
        <f>VLOOKUP(A4,'Project Status'!C:Q,15,FALSE)</f>
        <v>472146.67</v>
      </c>
    </row>
    <row r="8" spans="1:11" x14ac:dyDescent="0.4">
      <c r="E8" s="40" t="s">
        <v>123</v>
      </c>
    </row>
    <row r="9" spans="1:11" x14ac:dyDescent="0.4">
      <c r="E9" s="21" t="s">
        <v>328</v>
      </c>
      <c r="F9" t="s">
        <v>138</v>
      </c>
      <c r="H9" s="41">
        <v>17600</v>
      </c>
    </row>
    <row r="10" spans="1:11" x14ac:dyDescent="0.4">
      <c r="E10" s="21" t="s">
        <v>344</v>
      </c>
      <c r="F10" t="s">
        <v>211</v>
      </c>
      <c r="H10" s="41">
        <v>4000</v>
      </c>
    </row>
    <row r="11" spans="1:11" x14ac:dyDescent="0.4">
      <c r="E11" s="21" t="s">
        <v>375</v>
      </c>
      <c r="F11" t="s">
        <v>145</v>
      </c>
      <c r="H11" s="41">
        <v>477584</v>
      </c>
    </row>
    <row r="12" spans="1:11" x14ac:dyDescent="0.4">
      <c r="F12" s="10"/>
      <c r="G12" s="10"/>
      <c r="H12" s="44"/>
    </row>
    <row r="18" spans="5:8" x14ac:dyDescent="0.4">
      <c r="E18" s="135" t="s">
        <v>260</v>
      </c>
      <c r="F18" s="136"/>
      <c r="G18" s="135"/>
      <c r="H18" s="137">
        <f>SUM(H9:H17)</f>
        <v>499184</v>
      </c>
    </row>
    <row r="20" spans="5:8" x14ac:dyDescent="0.4">
      <c r="E20" s="138" t="s">
        <v>135</v>
      </c>
      <c r="F20" s="138"/>
      <c r="G20" s="138"/>
      <c r="H20" s="139">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10.3046875" bestFit="1" customWidth="1"/>
    <col min="4" max="4" width="25.53515625" bestFit="1" customWidth="1"/>
    <col min="5" max="5" width="33.3046875" bestFit="1" customWidth="1"/>
    <col min="6" max="6" width="16.53515625" bestFit="1" customWidth="1"/>
    <col min="7" max="7" width="10.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20884</v>
      </c>
      <c r="B4" s="11">
        <f>VLOOKUP(A4,'Project Status'!C:D,2,FALSE)</f>
        <v>8807</v>
      </c>
      <c r="C4" s="11" t="str">
        <f>VLOOKUP(A4,'Project Status'!C:E,3,FALSE)</f>
        <v>CP_400251</v>
      </c>
      <c r="D4" s="11" t="str">
        <f>VLOOKUP(A4,'Project Status'!C:F,4,FALSE)</f>
        <v>17000 - Law: Office of the Dean</v>
      </c>
      <c r="E4" s="11" t="str">
        <f>VLOOKUP(A4,'Project Status'!C:I,7,FALSE)</f>
        <v>Law School - Exterior Window Painting</v>
      </c>
      <c r="F4" s="11" t="str">
        <f>VLOOKUP(A4,'Project Status'!C:K,9,FALSE)</f>
        <v>Financial Closeout</v>
      </c>
      <c r="G4" s="11" t="str">
        <f>VLOOKUP(A4,'Project Status'!C:L,10,FALSE)</f>
        <v>Ben Bedock</v>
      </c>
      <c r="H4" s="88">
        <f>VLOOKUP(A4,'Project Status'!C:N,12,FALSE)</f>
        <v>675650</v>
      </c>
      <c r="I4" s="172">
        <f>VLOOKUP(A4,'Project Status'!C:Q,15,FALSE)</f>
        <v>480318</v>
      </c>
    </row>
    <row r="8" spans="1:11" x14ac:dyDescent="0.4">
      <c r="E8" s="40" t="s">
        <v>123</v>
      </c>
    </row>
    <row r="9" spans="1:11" x14ac:dyDescent="0.4">
      <c r="E9" s="21" t="s">
        <v>383</v>
      </c>
      <c r="F9" t="s">
        <v>145</v>
      </c>
      <c r="H9" s="41">
        <v>675650</v>
      </c>
      <c r="K9" s="41"/>
    </row>
    <row r="10" spans="1:11" x14ac:dyDescent="0.4">
      <c r="E10" s="21"/>
      <c r="H10" s="41"/>
    </row>
    <row r="12" spans="1:11" x14ac:dyDescent="0.4">
      <c r="F12" s="10"/>
      <c r="G12" s="10"/>
      <c r="H12" s="44"/>
    </row>
    <row r="18" spans="5:8" x14ac:dyDescent="0.4">
      <c r="E18" s="135" t="s">
        <v>260</v>
      </c>
      <c r="F18" s="136"/>
      <c r="G18" s="135"/>
      <c r="H18" s="137">
        <f>SUM(H9:H17)</f>
        <v>675650</v>
      </c>
    </row>
    <row r="20" spans="5:8" x14ac:dyDescent="0.4">
      <c r="E20" s="138" t="s">
        <v>135</v>
      </c>
      <c r="F20" s="138"/>
      <c r="G20" s="138"/>
      <c r="H20" s="139">
        <f>H4-H18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3046875" bestFit="1" customWidth="1"/>
    <col min="6" max="6" width="11.69140625" bestFit="1" customWidth="1"/>
    <col min="7" max="7" width="11.3046875" bestFit="1" customWidth="1"/>
    <col min="8" max="9" width="16.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Status'!C:K,9,FALSE)</f>
        <v>Construction Closeout</v>
      </c>
      <c r="G4" s="11" t="str">
        <f>VLOOKUP(A4,'Project Status'!C:L,10,FALSE)</f>
        <v>Sean Rewers</v>
      </c>
      <c r="H4" s="88">
        <f>VLOOKUP(A4,'Project Status'!C:N,12,FALSE)</f>
        <v>143053.4</v>
      </c>
      <c r="I4" s="172">
        <f>VLOOKUP(A4,'Project Status'!C:Q,15,FALSE)</f>
        <v>123743.89</v>
      </c>
    </row>
    <row r="8" spans="1:11" x14ac:dyDescent="0.4">
      <c r="E8" s="40" t="s">
        <v>123</v>
      </c>
    </row>
    <row r="9" spans="1:11" x14ac:dyDescent="0.4">
      <c r="E9" s="21" t="s">
        <v>360</v>
      </c>
      <c r="F9" t="s">
        <v>211</v>
      </c>
      <c r="H9" s="41">
        <v>98341</v>
      </c>
    </row>
    <row r="10" spans="1:11" x14ac:dyDescent="0.4">
      <c r="E10" s="21" t="s">
        <v>394</v>
      </c>
      <c r="F10" t="s">
        <v>145</v>
      </c>
      <c r="H10" s="41">
        <v>14712.4</v>
      </c>
    </row>
    <row r="11" spans="1:11" x14ac:dyDescent="0.4">
      <c r="E11" s="21" t="s">
        <v>427</v>
      </c>
      <c r="F11" t="s">
        <v>316</v>
      </c>
      <c r="H11" s="41">
        <v>30000</v>
      </c>
    </row>
    <row r="12" spans="1:11" x14ac:dyDescent="0.4">
      <c r="F12" s="10"/>
      <c r="G12" s="10"/>
      <c r="H12" s="44"/>
    </row>
    <row r="18" spans="5:8" x14ac:dyDescent="0.4">
      <c r="E18" s="135" t="s">
        <v>260</v>
      </c>
      <c r="F18" s="136"/>
      <c r="G18" s="135"/>
      <c r="H18" s="137">
        <f>SUM(H9:H17)</f>
        <v>143053.4</v>
      </c>
    </row>
    <row r="20" spans="5:8" x14ac:dyDescent="0.4">
      <c r="E20" s="138" t="s">
        <v>135</v>
      </c>
      <c r="F20" s="138"/>
      <c r="G20" s="138"/>
      <c r="H20" s="139">
        <f>H4-H18</f>
        <v>0</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rgb="FFFF66CC"/>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8.3046875" bestFit="1" customWidth="1"/>
    <col min="6" max="6" width="30.53515625" bestFit="1" customWidth="1"/>
    <col min="7" max="7" width="10.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Status'!C:K,9,FALSE)</f>
        <v>Finalized</v>
      </c>
      <c r="G4" s="11" t="str">
        <f>VLOOKUP(A4,'Project Status'!C:L,10,FALSE)</f>
        <v>Ben Bedock</v>
      </c>
      <c r="H4" s="88">
        <f>VLOOKUP(A4,'Project Status'!C:N,12,FALSE)</f>
        <v>61045</v>
      </c>
      <c r="I4" s="172">
        <f>VLOOKUP(A4,'Project Status'!C:Q,15,FALSE)</f>
        <v>54613</v>
      </c>
    </row>
    <row r="8" spans="1:11" x14ac:dyDescent="0.4">
      <c r="E8" s="40" t="s">
        <v>123</v>
      </c>
    </row>
    <row r="9" spans="1:11" x14ac:dyDescent="0.4">
      <c r="E9" s="21" t="s">
        <v>360</v>
      </c>
      <c r="F9" t="s">
        <v>138</v>
      </c>
      <c r="H9" s="41">
        <v>4100</v>
      </c>
    </row>
    <row r="10" spans="1:11" x14ac:dyDescent="0.4">
      <c r="E10" s="21" t="s">
        <v>375</v>
      </c>
      <c r="F10" t="s">
        <v>211</v>
      </c>
      <c r="H10" s="41">
        <v>56945</v>
      </c>
    </row>
    <row r="12" spans="1:11" x14ac:dyDescent="0.4">
      <c r="F12" s="10"/>
      <c r="G12" s="10"/>
      <c r="H12" s="44"/>
    </row>
    <row r="18" spans="5:8" x14ac:dyDescent="0.4">
      <c r="E18" s="135" t="s">
        <v>260</v>
      </c>
      <c r="F18" s="136"/>
      <c r="G18" s="135"/>
      <c r="H18" s="137">
        <f>SUM(H9:H17)</f>
        <v>61045</v>
      </c>
    </row>
    <row r="20" spans="5:8" x14ac:dyDescent="0.4">
      <c r="E20" s="138" t="s">
        <v>135</v>
      </c>
      <c r="F20" s="138"/>
      <c r="G20" s="138"/>
      <c r="H20" s="139">
        <f>I4-H18</f>
        <v>-6432</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84375" bestFit="1" customWidth="1"/>
    <col min="6" max="6" width="30.53515625" bestFit="1" customWidth="1"/>
    <col min="7" max="7" width="10.3046875" bestFit="1" customWidth="1"/>
    <col min="8" max="9" width="15.843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Status'!C:K,9,FALSE)</f>
        <v>Warranty or Construction Closeout</v>
      </c>
      <c r="G4" s="11" t="str">
        <f>VLOOKUP(A4,'Project Status'!C:L,10,FALSE)</f>
        <v>Ben Bedock</v>
      </c>
      <c r="H4" s="88">
        <f>VLOOKUP(A4,'Project Status'!C:N,12,FALSE)</f>
        <v>59798</v>
      </c>
      <c r="I4" s="172">
        <f>VLOOKUP(A4,'Project Status'!C:Q,15,FALSE)</f>
        <v>52466</v>
      </c>
    </row>
    <row r="8" spans="1:11" x14ac:dyDescent="0.4">
      <c r="E8" s="40" t="s">
        <v>123</v>
      </c>
    </row>
    <row r="9" spans="1:11" x14ac:dyDescent="0.4">
      <c r="E9" s="21" t="s">
        <v>360</v>
      </c>
      <c r="F9" t="s">
        <v>138</v>
      </c>
      <c r="H9" s="41">
        <v>4100</v>
      </c>
    </row>
    <row r="10" spans="1:11" x14ac:dyDescent="0.4">
      <c r="E10" s="21" t="s">
        <v>375</v>
      </c>
      <c r="F10" t="s">
        <v>211</v>
      </c>
      <c r="H10" s="41">
        <v>55698</v>
      </c>
    </row>
    <row r="12" spans="1:11" x14ac:dyDescent="0.4">
      <c r="F12" s="10"/>
      <c r="G12" s="10"/>
      <c r="H12" s="44"/>
    </row>
    <row r="18" spans="5:8" x14ac:dyDescent="0.4">
      <c r="E18" s="135" t="s">
        <v>260</v>
      </c>
      <c r="F18" s="136"/>
      <c r="G18" s="135"/>
      <c r="H18" s="137">
        <f>SUM(H9:H17)</f>
        <v>59798</v>
      </c>
    </row>
    <row r="20" spans="5:8" x14ac:dyDescent="0.4">
      <c r="E20" s="138" t="s">
        <v>135</v>
      </c>
      <c r="F20" s="138"/>
      <c r="G20" s="138"/>
      <c r="H20" s="139">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V18"/>
  <sheetViews>
    <sheetView zoomScaleNormal="100" workbookViewId="0">
      <pane xSplit="2" ySplit="4" topLeftCell="J5" activePane="bottomRight" state="frozen"/>
      <selection activeCell="D92" sqref="D92"/>
      <selection pane="topRight" activeCell="D92" sqref="D92"/>
      <selection pane="bottomLeft" activeCell="D92" sqref="D92"/>
      <selection pane="bottomRight" activeCell="S5" sqref="S5"/>
    </sheetView>
  </sheetViews>
  <sheetFormatPr defaultRowHeight="14.6" x14ac:dyDescent="0.4"/>
  <cols>
    <col min="1" max="1" width="26.07421875" customWidth="1"/>
    <col min="2" max="2" width="12.53515625" hidden="1" customWidth="1"/>
    <col min="3" max="22" width="13.84375" customWidth="1"/>
  </cols>
  <sheetData>
    <row r="1" spans="1:22" s="8" customFormat="1" x14ac:dyDescent="0.4">
      <c r="A1" s="73" t="s">
        <v>189</v>
      </c>
      <c r="B1"/>
      <c r="D1"/>
      <c r="E1"/>
      <c r="F1"/>
      <c r="G1"/>
      <c r="H1"/>
      <c r="I1"/>
      <c r="J1"/>
      <c r="K1"/>
      <c r="L1"/>
      <c r="M1"/>
      <c r="N1"/>
      <c r="O1"/>
      <c r="P1"/>
      <c r="Q1"/>
      <c r="R1"/>
      <c r="S1"/>
      <c r="T1"/>
      <c r="U1"/>
      <c r="V1"/>
    </row>
    <row r="2" spans="1:22" s="8" customFormat="1" x14ac:dyDescent="0.4">
      <c r="A2" s="19"/>
      <c r="B2" s="32"/>
      <c r="C2"/>
      <c r="D2"/>
      <c r="E2"/>
      <c r="F2"/>
      <c r="G2"/>
      <c r="H2"/>
      <c r="I2"/>
      <c r="J2"/>
      <c r="K2"/>
      <c r="L2"/>
      <c r="M2"/>
      <c r="N2"/>
      <c r="O2"/>
      <c r="P2"/>
      <c r="Q2"/>
      <c r="R2"/>
      <c r="S2"/>
      <c r="T2"/>
      <c r="U2"/>
      <c r="V2"/>
    </row>
    <row r="3" spans="1:22" ht="15" thickBot="1" x14ac:dyDescent="0.45"/>
    <row r="4" spans="1:22" ht="43.95" customHeight="1" x14ac:dyDescent="0.4">
      <c r="A4" s="22" t="s">
        <v>86</v>
      </c>
      <c r="B4" s="22" t="s">
        <v>99</v>
      </c>
      <c r="C4" s="121" t="s">
        <v>242</v>
      </c>
      <c r="D4" s="122" t="s">
        <v>301</v>
      </c>
      <c r="E4" s="123" t="s">
        <v>121</v>
      </c>
      <c r="F4" s="122" t="s">
        <v>300</v>
      </c>
      <c r="G4" s="124" t="s">
        <v>240</v>
      </c>
      <c r="H4" s="121" t="s">
        <v>243</v>
      </c>
      <c r="I4" s="122" t="s">
        <v>399</v>
      </c>
      <c r="J4" s="123" t="s">
        <v>121</v>
      </c>
      <c r="K4" s="122" t="s">
        <v>400</v>
      </c>
      <c r="L4" s="124" t="s">
        <v>241</v>
      </c>
      <c r="M4" s="121" t="s">
        <v>401</v>
      </c>
      <c r="N4" s="122" t="s">
        <v>588</v>
      </c>
      <c r="O4" s="123" t="s">
        <v>121</v>
      </c>
      <c r="P4" s="122" t="s">
        <v>403</v>
      </c>
      <c r="Q4" s="124" t="s">
        <v>404</v>
      </c>
      <c r="R4" s="121" t="s">
        <v>589</v>
      </c>
      <c r="S4" s="122" t="s">
        <v>590</v>
      </c>
      <c r="T4" s="123" t="s">
        <v>121</v>
      </c>
      <c r="U4" s="122" t="s">
        <v>591</v>
      </c>
      <c r="V4" s="124" t="s">
        <v>592</v>
      </c>
    </row>
    <row r="5" spans="1:22" x14ac:dyDescent="0.4">
      <c r="A5" t="s">
        <v>192</v>
      </c>
      <c r="B5" s="20">
        <f>Contributions!B5</f>
        <v>1075461.7320675128</v>
      </c>
      <c r="C5" s="125">
        <f>Contributions!C5/1000000</f>
        <v>3.6638259999999998</v>
      </c>
      <c r="D5" s="126">
        <f>SUMIF('Project Status'!G:G,'Shared Building Allocation'!A5,'Project Status'!S:S)/1000000</f>
        <v>1.7179739999999999</v>
      </c>
      <c r="E5" s="127">
        <f>D15/1000000</f>
        <v>0.55831562499999998</v>
      </c>
      <c r="F5" s="126">
        <f>D5+E5</f>
        <v>2.276289625</v>
      </c>
      <c r="G5" s="128">
        <f>C5-F5</f>
        <v>1.3875363749999998</v>
      </c>
      <c r="H5" s="125">
        <f>Contributions!G5/1000000</f>
        <v>4.2048135899999997</v>
      </c>
      <c r="I5" s="126">
        <f>SUMIF('Project Status'!G:G,'Shared Building Allocation'!A5,'Project Status'!T:T)/1000000</f>
        <v>2.6287729900000003</v>
      </c>
      <c r="J5" s="127">
        <f>I15/1000000</f>
        <v>-9.4282859999999975E-3</v>
      </c>
      <c r="K5" s="126">
        <f t="shared" ref="K5:K6" si="0">I5+J5</f>
        <v>2.6193447040000004</v>
      </c>
      <c r="L5" s="128">
        <f>H5-K5</f>
        <v>1.5854688859999992</v>
      </c>
      <c r="M5" s="125">
        <f>Contributions!K5/1000000</f>
        <v>4.8792291409590094</v>
      </c>
      <c r="N5" s="126">
        <f>SUMIF('Project Status'!G:G,'Shared Building Allocation'!A5,'Project Status'!U:U)/1000000</f>
        <v>1.5181443999999999</v>
      </c>
      <c r="O5" s="127">
        <f>N15/1000000</f>
        <v>0.59152695</v>
      </c>
      <c r="P5" s="126">
        <f>N5+O5</f>
        <v>2.1096713500000002</v>
      </c>
      <c r="Q5" s="128">
        <f t="shared" ref="Q5:Q6" si="1">M5-P5</f>
        <v>2.7695577909590092</v>
      </c>
      <c r="R5" s="125">
        <f>Contributions!O5/1000000</f>
        <v>5.3050797650226125</v>
      </c>
      <c r="S5" s="126">
        <f>SUMIF('Project Status'!G:G,'Shared Building Allocation'!A5,'Project Status'!V:V)/1000000</f>
        <v>0</v>
      </c>
      <c r="T5" s="127">
        <f>S15/1000000</f>
        <v>0.15715699999999999</v>
      </c>
      <c r="U5" s="126">
        <f>S5+T5</f>
        <v>0.15715699999999999</v>
      </c>
      <c r="V5" s="128">
        <f t="shared" ref="V5:V6" si="2">R5-U5</f>
        <v>5.1479227650226127</v>
      </c>
    </row>
    <row r="6" spans="1:22" x14ac:dyDescent="0.4">
      <c r="A6" t="s">
        <v>199</v>
      </c>
      <c r="B6" s="20">
        <f>Contributions!B10</f>
        <v>280022.39987629937</v>
      </c>
      <c r="C6" s="125">
        <f>Contributions!C10/1000000</f>
        <v>0.95396499999999995</v>
      </c>
      <c r="D6" s="126">
        <f>SUMIF('Project Status'!G:G,'Shared Building Allocation'!A6,'Project Status'!S:S)/1000000</f>
        <v>1.5951875</v>
      </c>
      <c r="E6" s="127">
        <f>-D15/1000000</f>
        <v>-0.55831562499999998</v>
      </c>
      <c r="F6" s="126">
        <f t="shared" ref="F6" si="3">D6+E6</f>
        <v>1.0368718750000001</v>
      </c>
      <c r="G6" s="128">
        <f t="shared" ref="G6" si="4">C6-F6</f>
        <v>-8.2906875000000158E-2</v>
      </c>
      <c r="H6" s="125">
        <f>Contributions!G10/1000000</f>
        <v>1.0547257800000001</v>
      </c>
      <c r="I6" s="126">
        <f>SUMIF('Project Status'!G:G,'Shared Building Allocation'!A6,'Project Status'!T:T)/1000000</f>
        <v>-2.693796E-2</v>
      </c>
      <c r="J6" s="127">
        <f>-I15/1000000</f>
        <v>9.4282859999999975E-3</v>
      </c>
      <c r="K6" s="126">
        <f t="shared" si="0"/>
        <v>-1.7509674000000003E-2</v>
      </c>
      <c r="L6" s="128">
        <f t="shared" ref="L6" si="5">H6-K6</f>
        <v>1.0722354540000001</v>
      </c>
      <c r="M6" s="125">
        <f>Contributions!K10/1000000</f>
        <v>1.4329847751475155</v>
      </c>
      <c r="N6" s="126">
        <f>SUMIF('Project Status'!G:G,'Shared Building Allocation'!A6,'Project Status'!U:U)/1000000</f>
        <v>1.607952</v>
      </c>
      <c r="O6" s="127">
        <f>-N15/1000000</f>
        <v>-0.59152695</v>
      </c>
      <c r="P6" s="126">
        <f t="shared" ref="P6" si="6">N6+O6</f>
        <v>1.0164250500000001</v>
      </c>
      <c r="Q6" s="128">
        <f t="shared" si="1"/>
        <v>0.41655972514751549</v>
      </c>
      <c r="R6" s="125">
        <f>Contributions!O14/1000000</f>
        <v>1.516552328303542</v>
      </c>
      <c r="S6" s="126">
        <f>SUMIF('Project Status'!G:G,'Shared Building Allocation'!A6,'Project Status'!V:V)/1000000</f>
        <v>0.44901999999999997</v>
      </c>
      <c r="T6" s="127">
        <f>-S15/1000000</f>
        <v>-0.15715699999999999</v>
      </c>
      <c r="U6" s="126">
        <f t="shared" ref="U6" si="7">S6+T6</f>
        <v>0.29186299999999998</v>
      </c>
      <c r="V6" s="128">
        <f t="shared" si="2"/>
        <v>1.224689328303542</v>
      </c>
    </row>
    <row r="7" spans="1:22" ht="15" thickBot="1" x14ac:dyDescent="0.45">
      <c r="A7" s="23"/>
      <c r="B7" s="23">
        <v>2748810.0535201132</v>
      </c>
      <c r="C7" s="129">
        <f>SUM(C5:C6)</f>
        <v>4.6177909999999995</v>
      </c>
      <c r="D7" s="130">
        <f>SUM(D5:D6)</f>
        <v>3.3131614999999996</v>
      </c>
      <c r="E7" s="131"/>
      <c r="F7" s="130">
        <f>SUM(F5:F6)</f>
        <v>3.3131615000000001</v>
      </c>
      <c r="G7" s="132">
        <f>SUM(G5:G6)</f>
        <v>1.3046294999999997</v>
      </c>
      <c r="H7" s="129">
        <f>SUM(H5:H6)</f>
        <v>5.2595393699999997</v>
      </c>
      <c r="I7" s="130">
        <f>SUM(I5:I6)</f>
        <v>2.6018350300000002</v>
      </c>
      <c r="J7" s="131"/>
      <c r="K7" s="130">
        <f>SUM(K5:K6)</f>
        <v>2.6018350300000006</v>
      </c>
      <c r="L7" s="132">
        <f>SUM(L5:L6)</f>
        <v>2.6577043399999996</v>
      </c>
      <c r="M7" s="129">
        <f>SUM(M5:M6)</f>
        <v>6.3122139161065247</v>
      </c>
      <c r="N7" s="130">
        <f>SUM(N5:N6)</f>
        <v>3.1260963999999998</v>
      </c>
      <c r="O7" s="131"/>
      <c r="P7" s="130">
        <f>SUM(P5:P6)</f>
        <v>3.1260964000000002</v>
      </c>
      <c r="Q7" s="132">
        <f>SUM(Q5:Q6)</f>
        <v>3.1861175161065249</v>
      </c>
      <c r="R7" s="129">
        <f>SUM(R5:R6)</f>
        <v>6.8216320933261549</v>
      </c>
      <c r="S7" s="130">
        <f>SUM(S5:S6)</f>
        <v>0.44901999999999997</v>
      </c>
      <c r="T7" s="131"/>
      <c r="U7" s="130">
        <f>SUM(U5:U6)</f>
        <v>0.44901999999999997</v>
      </c>
      <c r="V7" s="132">
        <f>SUM(V5:V6)</f>
        <v>6.372612093326155</v>
      </c>
    </row>
    <row r="9" spans="1:22" x14ac:dyDescent="0.4">
      <c r="I9" s="34"/>
      <c r="N9" s="34"/>
      <c r="S9" s="34"/>
    </row>
    <row r="10" spans="1:22" x14ac:dyDescent="0.4">
      <c r="I10" s="34"/>
      <c r="N10" s="34"/>
      <c r="S10" s="34"/>
    </row>
    <row r="11" spans="1:22" x14ac:dyDescent="0.4">
      <c r="A11" s="19" t="s">
        <v>117</v>
      </c>
    </row>
    <row r="12" spans="1:22" s="19" customFormat="1" x14ac:dyDescent="0.4">
      <c r="D12" s="28" t="s">
        <v>298</v>
      </c>
      <c r="I12" s="28" t="s">
        <v>299</v>
      </c>
      <c r="N12" s="28" t="s">
        <v>402</v>
      </c>
      <c r="S12" s="28" t="s">
        <v>596</v>
      </c>
    </row>
    <row r="13" spans="1:22" s="19" customFormat="1" x14ac:dyDescent="0.4">
      <c r="A13" s="229" t="s">
        <v>146</v>
      </c>
      <c r="D13" s="29">
        <f>SUMIF('Project Status'!H:H,'Shared Building Allocation'!A13,'Project Status'!S:S)</f>
        <v>1595187.5</v>
      </c>
      <c r="I13" s="29">
        <f>SUMIF('Project Status'!H:H,'Shared Building Allocation'!A13,'Project Status'!T:T)</f>
        <v>-26937.96</v>
      </c>
      <c r="J13" s="29"/>
      <c r="N13" s="29">
        <f>SUMIF('Project Status'!H:H,'Shared Building Allocation'!A13,'Project Status'!U:U)</f>
        <v>1690077</v>
      </c>
      <c r="S13" s="29">
        <f>SUMIF('Project Status'!$H:$H,'Shared Building Allocation'!$A$13,'Project Status'!V:V)</f>
        <v>449020</v>
      </c>
    </row>
    <row r="14" spans="1:22" s="19" customFormat="1" ht="6.45" customHeight="1" x14ac:dyDescent="0.4">
      <c r="D14" s="29"/>
      <c r="I14" s="29"/>
      <c r="N14" s="29"/>
      <c r="S14" s="29"/>
    </row>
    <row r="15" spans="1:22" s="19" customFormat="1" x14ac:dyDescent="0.4">
      <c r="A15" s="31" t="s">
        <v>119</v>
      </c>
      <c r="D15" s="29">
        <f>D13*0.35</f>
        <v>558315.625</v>
      </c>
      <c r="I15" s="29">
        <f>I13*0.35</f>
        <v>-9428.2859999999982</v>
      </c>
      <c r="N15" s="29">
        <f>N13*0.35</f>
        <v>591526.94999999995</v>
      </c>
      <c r="S15" s="29">
        <f>S13*0.35</f>
        <v>157157</v>
      </c>
    </row>
    <row r="16" spans="1:22" s="19" customFormat="1" x14ac:dyDescent="0.4">
      <c r="A16" s="31" t="s">
        <v>120</v>
      </c>
      <c r="D16" s="29">
        <f>D13*0.65</f>
        <v>1036871.875</v>
      </c>
      <c r="I16" s="29">
        <f>I13*0.65</f>
        <v>-17509.673999999999</v>
      </c>
      <c r="N16" s="29">
        <f>N13*0.65</f>
        <v>1098550.05</v>
      </c>
      <c r="S16" s="29">
        <f>S13*0.65</f>
        <v>291863</v>
      </c>
    </row>
    <row r="17" spans="4:19" s="19" customFormat="1" x14ac:dyDescent="0.4">
      <c r="D17" s="30">
        <f>SUM(D15:D16)</f>
        <v>1595187.5</v>
      </c>
      <c r="I17" s="30">
        <f>SUM(I15:I16)</f>
        <v>-26937.96</v>
      </c>
      <c r="N17" s="30">
        <f>SUM(N15:N16)</f>
        <v>1690077</v>
      </c>
      <c r="S17" s="30">
        <f>SUM(S15:S16)</f>
        <v>449020</v>
      </c>
    </row>
    <row r="18" spans="4:19" s="19"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843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Status'!C:K,9,FALSE)</f>
        <v>Financial Closeout</v>
      </c>
      <c r="G4" s="11" t="str">
        <f>VLOOKUP(A4,'Project Status'!C:L,10,FALSE)</f>
        <v>Ben Bedock</v>
      </c>
      <c r="H4" s="88">
        <f>VLOOKUP(A4,'Project Status'!C:N,12,FALSE)</f>
        <v>96612</v>
      </c>
      <c r="I4" s="172">
        <f>VLOOKUP(A4,'Project Status'!C:Q,15,FALSE)</f>
        <v>86000</v>
      </c>
    </row>
    <row r="8" spans="1:11" x14ac:dyDescent="0.4">
      <c r="E8" s="40" t="s">
        <v>123</v>
      </c>
    </row>
    <row r="9" spans="1:11" x14ac:dyDescent="0.4">
      <c r="E9" s="21" t="s">
        <v>360</v>
      </c>
      <c r="F9" t="s">
        <v>138</v>
      </c>
      <c r="H9" s="41">
        <v>4100</v>
      </c>
    </row>
    <row r="10" spans="1:11" x14ac:dyDescent="0.4">
      <c r="E10" s="21" t="s">
        <v>375</v>
      </c>
      <c r="F10" t="s">
        <v>211</v>
      </c>
      <c r="H10" s="41">
        <v>92512</v>
      </c>
    </row>
    <row r="12" spans="1:11" x14ac:dyDescent="0.4">
      <c r="F12" s="10"/>
      <c r="G12" s="10"/>
      <c r="H12" s="44"/>
    </row>
    <row r="18" spans="5:8" x14ac:dyDescent="0.4">
      <c r="E18" s="135" t="s">
        <v>260</v>
      </c>
      <c r="F18" s="136"/>
      <c r="G18" s="135"/>
      <c r="H18" s="137">
        <f>SUM(H9:H17)</f>
        <v>96612</v>
      </c>
    </row>
    <row r="20" spans="5:8" x14ac:dyDescent="0.4">
      <c r="E20" s="138" t="s">
        <v>135</v>
      </c>
      <c r="F20" s="138"/>
      <c r="G20" s="138"/>
      <c r="H20" s="139">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3.30468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20922</v>
      </c>
      <c r="B4" s="11">
        <f>VLOOKUP(A4,'Project Status'!C:D,2,FALSE)</f>
        <v>8720</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Status'!C:K,9,FALSE)</f>
        <v>Warranty or Construction Closeout</v>
      </c>
      <c r="G4" s="11" t="str">
        <f>VLOOKUP(A4,'Project Status'!C:L,10,FALSE)</f>
        <v>Jay Surprenant</v>
      </c>
      <c r="H4" s="88">
        <f>VLOOKUP(A4,'Project Status'!C:N,12,FALSE)</f>
        <v>197150</v>
      </c>
      <c r="I4" s="172">
        <f>VLOOKUP(A4,'Project Status'!C:Q,15,FALSE)</f>
        <v>170000</v>
      </c>
    </row>
    <row r="8" spans="1:11" x14ac:dyDescent="0.4">
      <c r="E8" s="40" t="s">
        <v>123</v>
      </c>
    </row>
    <row r="9" spans="1:11" x14ac:dyDescent="0.4">
      <c r="E9" s="21" t="s">
        <v>394</v>
      </c>
      <c r="F9" t="s">
        <v>138</v>
      </c>
      <c r="H9" s="41">
        <v>197150</v>
      </c>
    </row>
    <row r="10" spans="1:11" x14ac:dyDescent="0.4">
      <c r="E10" s="21"/>
      <c r="H10" s="41"/>
    </row>
    <row r="12" spans="1:11" x14ac:dyDescent="0.4">
      <c r="F12" s="10"/>
      <c r="G12" s="10"/>
      <c r="H12" s="44"/>
    </row>
    <row r="18" spans="5:8" x14ac:dyDescent="0.4">
      <c r="E18" s="135" t="s">
        <v>260</v>
      </c>
      <c r="F18" s="136"/>
      <c r="G18" s="135"/>
      <c r="H18" s="137">
        <f>SUM(H9:H17)</f>
        <v>197150</v>
      </c>
    </row>
    <row r="20" spans="5:8" x14ac:dyDescent="0.4">
      <c r="E20" s="138" t="s">
        <v>135</v>
      </c>
      <c r="F20" s="138"/>
      <c r="G20" s="138"/>
      <c r="H20" s="139">
        <f>H4-H18</f>
        <v>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theme="1"/>
  </sheetPr>
  <dimension ref="A1:K20"/>
  <sheetViews>
    <sheetView zoomScale="90" zoomScaleNormal="90" workbookViewId="0">
      <selection activeCell="F10" sqref="F10"/>
    </sheetView>
  </sheetViews>
  <sheetFormatPr defaultRowHeight="14.6" x14ac:dyDescent="0.4"/>
  <cols>
    <col min="1" max="1" width="7.84375" bestFit="1" customWidth="1"/>
    <col min="2" max="2" width="5.53515625" bestFit="1" customWidth="1"/>
    <col min="3" max="3" width="6.3046875" bestFit="1" customWidth="1"/>
    <col min="4" max="4" width="30.3046875" bestFit="1" customWidth="1"/>
    <col min="5" max="5" width="33.3046875" bestFit="1" customWidth="1"/>
    <col min="6" max="6" width="16.53515625" bestFit="1" customWidth="1"/>
    <col min="7" max="7" width="10.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20924</v>
      </c>
      <c r="B4" s="11">
        <f>VLOOKUP(A4,'Project Status'!C:D,2,FALSE)</f>
        <v>8737</v>
      </c>
      <c r="C4" s="11">
        <f>VLOOKUP(A4,'Project Status'!C:E,3,FALSE)</f>
        <v>0</v>
      </c>
      <c r="D4" s="11" t="str">
        <f>VLOOKUP(A4,'Project Status'!C:F,4,FALSE)</f>
        <v>19000 - Nursing: Office of the Dean</v>
      </c>
      <c r="E4" s="11" t="str">
        <f>VLOOKUP(A4,'Project Status'!C:I,7,FALSE)</f>
        <v>Frist Hall - Stairwell Roof Replacement</v>
      </c>
      <c r="F4" s="11" t="str">
        <f>VLOOKUP(A4,'Project Status'!C:K,9,FALSE)</f>
        <v>Finalized</v>
      </c>
      <c r="G4" s="11" t="str">
        <f>VLOOKUP(A4,'Project Status'!C:L,10,FALSE)</f>
        <v>Ben Bedock</v>
      </c>
      <c r="H4" s="88">
        <f>VLOOKUP(A4,'Project Status'!C:N,12,FALSE)</f>
        <v>30570</v>
      </c>
      <c r="I4" s="172">
        <f>VLOOKUP(A4,'Project Status'!C:O,13,FALSE)</f>
        <v>24500</v>
      </c>
    </row>
    <row r="8" spans="1:11" x14ac:dyDescent="0.4">
      <c r="E8" s="40" t="s">
        <v>123</v>
      </c>
    </row>
    <row r="9" spans="1:11" x14ac:dyDescent="0.4">
      <c r="E9" s="21" t="s">
        <v>383</v>
      </c>
      <c r="F9" t="s">
        <v>138</v>
      </c>
      <c r="H9" s="41">
        <v>30570</v>
      </c>
    </row>
    <row r="10" spans="1:11" x14ac:dyDescent="0.4">
      <c r="E10" s="21" t="s">
        <v>569</v>
      </c>
      <c r="F10" t="s">
        <v>296</v>
      </c>
      <c r="H10" s="41">
        <v>-6070</v>
      </c>
    </row>
    <row r="12" spans="1:11" x14ac:dyDescent="0.4">
      <c r="F12" s="10"/>
      <c r="G12" s="10"/>
      <c r="H12" s="44"/>
    </row>
    <row r="18" spans="5:8" x14ac:dyDescent="0.4">
      <c r="E18" s="135" t="s">
        <v>260</v>
      </c>
      <c r="F18" s="136"/>
      <c r="G18" s="135"/>
      <c r="H18" s="137">
        <f>SUM(H9:H17)</f>
        <v>24500</v>
      </c>
    </row>
    <row r="20" spans="5:8" x14ac:dyDescent="0.4">
      <c r="E20" s="138" t="s">
        <v>135</v>
      </c>
      <c r="F20" s="138"/>
      <c r="G20" s="138"/>
      <c r="H20" s="139">
        <f>I4-H18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02092-AB06-4ACC-A5D7-EE5F45C988F7}">
  <sheetPr>
    <tabColor theme="4"/>
  </sheetPr>
  <dimension ref="A1:K20"/>
  <sheetViews>
    <sheetView zoomScale="90" zoomScaleNormal="90" workbookViewId="0">
      <selection activeCell="K1" sqref="K1"/>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53" bestFit="1" customWidth="1"/>
    <col min="6" max="6" width="16.53515625" bestFit="1" customWidth="1"/>
    <col min="7" max="7" width="10.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20925</v>
      </c>
      <c r="B4" s="11">
        <f>VLOOKUP(A4,'Project Status'!C:D,2,FALSE)</f>
        <v>8260</v>
      </c>
      <c r="C4" s="11" t="str">
        <f>VLOOKUP(A4,'Project Status'!C:E,3,FALSE)</f>
        <v>CP_400326</v>
      </c>
      <c r="D4" s="11" t="str">
        <f>VLOOKUP(A4,'Project Status'!C:F,4,FALSE)</f>
        <v>13000 - Blair: Office of the Dean</v>
      </c>
      <c r="E4" s="11" t="str">
        <f>VLOOKUP(A4,'Project Status'!C:I,7,FALSE)</f>
        <v>Blair School of Music - AHU 2/3 Replacement  - Phase 2 - FY26</v>
      </c>
      <c r="F4" s="11" t="str">
        <f>VLOOKUP(A4,'Project Status'!C:K,9,FALSE)</f>
        <v>Construction</v>
      </c>
      <c r="G4" s="11" t="str">
        <f>VLOOKUP(A4,'Project Status'!C:L,10,FALSE)</f>
        <v>Jay Surprenant</v>
      </c>
      <c r="H4" s="88">
        <f>VLOOKUP(A4,'Project Status'!C:N,12,FALSE)</f>
        <v>2125000</v>
      </c>
      <c r="I4" s="172">
        <f>VLOOKUP(A4,'Project Status'!C:Q,15,FALSE)</f>
        <v>0</v>
      </c>
    </row>
    <row r="8" spans="1:11" x14ac:dyDescent="0.4">
      <c r="E8" s="40" t="s">
        <v>123</v>
      </c>
    </row>
    <row r="9" spans="1:11" x14ac:dyDescent="0.4">
      <c r="E9" t="s">
        <v>473</v>
      </c>
      <c r="F9" t="s">
        <v>138</v>
      </c>
      <c r="H9" s="41">
        <v>409000</v>
      </c>
    </row>
    <row r="10" spans="1:11" x14ac:dyDescent="0.4">
      <c r="E10" t="s">
        <v>610</v>
      </c>
      <c r="F10" t="s">
        <v>211</v>
      </c>
      <c r="H10" s="41">
        <v>1716000</v>
      </c>
    </row>
    <row r="12" spans="1:11" x14ac:dyDescent="0.4">
      <c r="F12" s="10"/>
      <c r="G12" s="10"/>
      <c r="H12" s="44"/>
    </row>
    <row r="18" spans="5:8" x14ac:dyDescent="0.4">
      <c r="E18" s="135" t="s">
        <v>260</v>
      </c>
      <c r="F18" s="136"/>
      <c r="G18" s="135"/>
      <c r="H18" s="137">
        <f>SUM(H9:H17)</f>
        <v>2125000</v>
      </c>
    </row>
    <row r="20" spans="5:8" x14ac:dyDescent="0.4">
      <c r="E20" s="138" t="s">
        <v>135</v>
      </c>
      <c r="F20" s="138"/>
      <c r="G20" s="138"/>
      <c r="H20" s="139">
        <f>H4-H18</f>
        <v>0</v>
      </c>
    </row>
  </sheetData>
  <phoneticPr fontId="5" type="noConversion"/>
  <hyperlinks>
    <hyperlink ref="K1" location="'Project Status'!A1" display="'Project Status'!A1" xr:uid="{010B6311-36CC-4254-80DE-DB47A9906603}"/>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40.07421875" bestFit="1" customWidth="1"/>
    <col min="6" max="6" width="30.53515625" bestFit="1" customWidth="1"/>
    <col min="7" max="7" width="13.07421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Status'!C:K,9,FALSE)</f>
        <v>Warranty or Construction Closeout</v>
      </c>
      <c r="G4" s="11" t="str">
        <f>VLOOKUP(A4,'Project Status'!C:L,10,FALSE)</f>
        <v>Jay Surprenant</v>
      </c>
      <c r="H4" s="88">
        <f>VLOOKUP(A4,'Project Status'!C:N,12,FALSE)</f>
        <v>404655.91</v>
      </c>
      <c r="I4" s="172">
        <f>VLOOKUP(A4,'Project Status'!C:Q,15,FALSE)</f>
        <v>357255.91</v>
      </c>
    </row>
    <row r="8" spans="1:11" x14ac:dyDescent="0.4">
      <c r="E8" s="40" t="s">
        <v>123</v>
      </c>
    </row>
    <row r="9" spans="1:11" x14ac:dyDescent="0.4">
      <c r="E9" s="21" t="s">
        <v>383</v>
      </c>
      <c r="F9" t="s">
        <v>138</v>
      </c>
      <c r="H9" s="41">
        <v>404655.91</v>
      </c>
    </row>
    <row r="10" spans="1:11" x14ac:dyDescent="0.4">
      <c r="E10" s="21"/>
      <c r="H10" s="41"/>
    </row>
    <row r="12" spans="1:11" x14ac:dyDescent="0.4">
      <c r="F12" s="10"/>
      <c r="G12" s="10"/>
      <c r="H12" s="44"/>
    </row>
    <row r="18" spans="5:8" x14ac:dyDescent="0.4">
      <c r="E18" s="135" t="s">
        <v>260</v>
      </c>
      <c r="F18" s="136"/>
      <c r="G18" s="135"/>
      <c r="H18" s="137">
        <f>SUM(H9:H17)</f>
        <v>404655.91</v>
      </c>
    </row>
    <row r="20" spans="5:8" x14ac:dyDescent="0.4">
      <c r="E20" s="138" t="s">
        <v>135</v>
      </c>
      <c r="F20" s="138"/>
      <c r="G20" s="138"/>
      <c r="H20" s="139">
        <f>H4-H18</f>
        <v>0</v>
      </c>
    </row>
  </sheetData>
  <hyperlinks>
    <hyperlink ref="K1" location="'Project Status'!A1" display="'Project Status'!A1" xr:uid="{F7F8C54D-A01C-4604-8085-EC56EA3D760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B367-0D18-4B42-B53A-B92AE5134A1F}">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10.3046875" bestFit="1" customWidth="1"/>
    <col min="4" max="4" width="33.69140625" bestFit="1" customWidth="1"/>
    <col min="5" max="5" width="42.07421875" bestFit="1" customWidth="1"/>
    <col min="6" max="6" width="11.69140625" bestFit="1" customWidth="1"/>
    <col min="7" max="7" width="11.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20940</v>
      </c>
      <c r="B4" s="11">
        <f>VLOOKUP(A4,'Project Status'!C:D,2,FALSE)</f>
        <v>8412</v>
      </c>
      <c r="C4" s="11" t="str">
        <f>VLOOKUP(A4,'Project Status'!C:E,3,FALSE)</f>
        <v>CP_400291</v>
      </c>
      <c r="D4" s="11" t="str">
        <f>VLOOKUP(A4,'Project Status'!C:F,4,FALSE)</f>
        <v>15000 - Engineering: Office of the Dean</v>
      </c>
      <c r="E4" s="11" t="str">
        <f>VLOOKUP(A4,'Project Status'!C:I,7,FALSE)</f>
        <v>1025 16th Avenue - Security System Replacement</v>
      </c>
      <c r="F4" s="11" t="str">
        <f>VLOOKUP(A4,'Project Status'!C:K,9,FALSE)</f>
        <v>Financial Closeout</v>
      </c>
      <c r="G4" s="11" t="str">
        <f>VLOOKUP(A4,'Project Status'!C:L,10,FALSE)</f>
        <v>Sean Rewers</v>
      </c>
      <c r="H4" s="88">
        <f>VLOOKUP(A4,'Project Status'!C:N,12,FALSE)</f>
        <v>309548.64</v>
      </c>
      <c r="I4" s="172">
        <f>VLOOKUP(A4,'Project Status'!C:Q,15,FALSE)</f>
        <v>298332.12</v>
      </c>
    </row>
    <row r="8" spans="1:11" x14ac:dyDescent="0.4">
      <c r="E8" s="40" t="s">
        <v>123</v>
      </c>
    </row>
    <row r="9" spans="1:11" x14ac:dyDescent="0.4">
      <c r="E9" s="21" t="s">
        <v>429</v>
      </c>
      <c r="F9" t="s">
        <v>138</v>
      </c>
      <c r="H9" s="41">
        <v>294789</v>
      </c>
    </row>
    <row r="10" spans="1:11" x14ac:dyDescent="0.4">
      <c r="E10" s="21" t="s">
        <v>444</v>
      </c>
      <c r="F10" t="s">
        <v>145</v>
      </c>
      <c r="H10" s="41">
        <v>14759.64</v>
      </c>
    </row>
    <row r="12" spans="1:11" x14ac:dyDescent="0.4">
      <c r="F12" s="10"/>
      <c r="G12" s="10"/>
      <c r="H12" s="44"/>
    </row>
    <row r="18" spans="5:8" x14ac:dyDescent="0.4">
      <c r="E18" s="135" t="s">
        <v>260</v>
      </c>
      <c r="F18" s="136"/>
      <c r="G18" s="135"/>
      <c r="H18" s="137">
        <f>SUM(H9:H17)</f>
        <v>309548.64</v>
      </c>
    </row>
    <row r="20" spans="5:8" x14ac:dyDescent="0.4">
      <c r="E20" s="138" t="s">
        <v>135</v>
      </c>
      <c r="F20" s="138"/>
      <c r="G20" s="138"/>
      <c r="H20" s="139">
        <f>H4-H18</f>
        <v>0</v>
      </c>
    </row>
  </sheetData>
  <hyperlinks>
    <hyperlink ref="K1" location="'Project Status'!A1" display="'Project Status'!A1" xr:uid="{FC858947-0188-4EC9-869C-2D48C036048B}"/>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16.69140625" bestFit="1" customWidth="1"/>
    <col min="5" max="5" width="37.3046875" bestFit="1" customWidth="1"/>
    <col min="6" max="6" width="16.53515625" bestFit="1" customWidth="1"/>
    <col min="7" max="7" width="11.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20945</v>
      </c>
      <c r="B4" s="11">
        <f>VLOOKUP(A4,'Project Status'!C:D,2,FALSE)</f>
        <v>8905</v>
      </c>
      <c r="C4" s="11">
        <f>VLOOKUP(A4,'Project Status'!C:E,3,FALSE)</f>
        <v>0</v>
      </c>
      <c r="D4" s="11" t="str">
        <f>VLOOKUP(A4,'Project Status'!C:F,4,FALSE)</f>
        <v>10000 - Chancellor</v>
      </c>
      <c r="E4" s="11" t="str">
        <f>VLOOKUP(A4,'Project Status'!C:I,7,FALSE)</f>
        <v>Seigenthaler Building - HVAC Improvements</v>
      </c>
      <c r="F4" s="11" t="str">
        <f>VLOOKUP(A4,'Project Status'!C:K,9,FALSE)</f>
        <v>Financial Closeout</v>
      </c>
      <c r="G4" s="11" t="str">
        <f>VLOOKUP(A4,'Project Status'!C:L,10,FALSE)</f>
        <v>Sean Rewers</v>
      </c>
      <c r="H4" s="88">
        <f>VLOOKUP(A4,'Project Status'!C:N,12,FALSE)</f>
        <v>99000</v>
      </c>
      <c r="I4" s="172">
        <f>VLOOKUP(A4,'Project Status'!C:Q,15,FALSE)</f>
        <v>70200</v>
      </c>
    </row>
    <row r="8" spans="1:11" x14ac:dyDescent="0.4">
      <c r="E8" s="40" t="s">
        <v>123</v>
      </c>
    </row>
    <row r="9" spans="1:11" x14ac:dyDescent="0.4">
      <c r="E9" s="21" t="s">
        <v>375</v>
      </c>
      <c r="F9" t="s">
        <v>138</v>
      </c>
      <c r="H9" s="41">
        <v>99000</v>
      </c>
    </row>
    <row r="10" spans="1:11" x14ac:dyDescent="0.4">
      <c r="E10" s="21"/>
      <c r="H10" s="41"/>
    </row>
    <row r="12" spans="1:11" x14ac:dyDescent="0.4">
      <c r="F12" s="10"/>
      <c r="G12" s="10"/>
      <c r="H12" s="44"/>
    </row>
    <row r="18" spans="5:8" x14ac:dyDescent="0.4">
      <c r="E18" s="135" t="s">
        <v>260</v>
      </c>
      <c r="F18" s="136"/>
      <c r="G18" s="135"/>
      <c r="H18" s="137">
        <f>SUM(H9:H17)</f>
        <v>99000</v>
      </c>
    </row>
    <row r="20" spans="5:8" x14ac:dyDescent="0.4">
      <c r="E20" s="138" t="s">
        <v>135</v>
      </c>
      <c r="F20" s="138"/>
      <c r="G20" s="138"/>
      <c r="H20" s="139">
        <f>H4-H18</f>
        <v>0</v>
      </c>
    </row>
  </sheetData>
  <hyperlinks>
    <hyperlink ref="K1" location="'Project Status'!A1" display="'Project Status'!A1" xr:uid="{AA7E3536-03A0-4A48-A715-97F0A5AE270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2.69140625" bestFit="1" customWidth="1"/>
    <col min="6" max="6" width="11.69140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20958</v>
      </c>
      <c r="B4" s="11">
        <f>VLOOKUP(A4,'Project Status'!C:D,2,FALSE)</f>
        <v>1642</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Status'!C:K,9,FALSE)</f>
        <v>Construction</v>
      </c>
      <c r="G4" s="11" t="str">
        <f>VLOOKUP(A4,'Project Status'!C:L,10,FALSE)</f>
        <v>Ben Bedock</v>
      </c>
      <c r="H4" s="88">
        <f>VLOOKUP(A4,'Project Status'!C:N,12,FALSE)</f>
        <v>261629</v>
      </c>
      <c r="I4" s="172">
        <f>VLOOKUP(A4,'Project Status'!C:Q,15,FALSE)</f>
        <v>131676.91</v>
      </c>
    </row>
    <row r="8" spans="1:11" x14ac:dyDescent="0.4">
      <c r="E8" s="40" t="s">
        <v>123</v>
      </c>
    </row>
    <row r="9" spans="1:11" x14ac:dyDescent="0.4">
      <c r="E9" s="21" t="s">
        <v>394</v>
      </c>
      <c r="F9" t="s">
        <v>138</v>
      </c>
      <c r="H9" s="41">
        <v>18175</v>
      </c>
    </row>
    <row r="10" spans="1:11" x14ac:dyDescent="0.4">
      <c r="E10" s="21" t="s">
        <v>422</v>
      </c>
      <c r="F10" t="s">
        <v>211</v>
      </c>
      <c r="H10" s="41">
        <v>243454</v>
      </c>
    </row>
    <row r="12" spans="1:11" x14ac:dyDescent="0.4">
      <c r="F12" s="10"/>
      <c r="G12" s="10"/>
      <c r="H12" s="44"/>
    </row>
    <row r="18" spans="5:8" x14ac:dyDescent="0.4">
      <c r="E18" s="135" t="s">
        <v>260</v>
      </c>
      <c r="F18" s="136"/>
      <c r="G18" s="135"/>
      <c r="H18" s="137">
        <f>SUM(H9:H17)</f>
        <v>261629</v>
      </c>
    </row>
    <row r="20" spans="5:8" x14ac:dyDescent="0.4">
      <c r="E20" s="138" t="s">
        <v>135</v>
      </c>
      <c r="F20" s="138"/>
      <c r="G20" s="138"/>
      <c r="H20" s="139">
        <f>H4-H18</f>
        <v>0</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3F35-660F-4AAB-ABDE-95F720CDB1A2}">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9.3046875" bestFit="1" customWidth="1"/>
    <col min="6" max="6" width="6.304687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20962</v>
      </c>
      <c r="B4" s="11">
        <f>VLOOKUP(A4,'Project Status'!C:D,2,FALSE)</f>
        <v>8754</v>
      </c>
      <c r="C4" s="11">
        <f>VLOOKUP(A4,'Project Status'!C:E,3,FALSE)</f>
        <v>0</v>
      </c>
      <c r="D4" s="11" t="str">
        <f>VLOOKUP(A4,'Project Status'!C:F,4,FALSE)</f>
        <v>12000 - Arts and Science: Office of the Dean</v>
      </c>
      <c r="E4" s="11" t="str">
        <f>VLOOKUP(A4,'Project Status'!C:I,7,FALSE)</f>
        <v>Vaughn Home - Roof Replacement</v>
      </c>
      <c r="F4" s="11" t="str">
        <f>VLOOKUP(A4,'Project Status'!C:K,9,FALSE)</f>
        <v>Design</v>
      </c>
      <c r="G4" s="11" t="str">
        <f>VLOOKUP(A4,'Project Status'!C:L,10,FALSE)</f>
        <v>Ben Bedock</v>
      </c>
      <c r="H4" s="88">
        <f>VLOOKUP(A4,'Project Status'!C:N,12,FALSE)</f>
        <v>1800</v>
      </c>
      <c r="I4" s="172">
        <f>VLOOKUP(A4,'Project Status'!C:Q,15,FALSE)</f>
        <v>1800</v>
      </c>
    </row>
    <row r="8" spans="1:11" x14ac:dyDescent="0.4">
      <c r="E8" s="40" t="s">
        <v>123</v>
      </c>
    </row>
    <row r="9" spans="1:11" x14ac:dyDescent="0.4">
      <c r="E9" s="21" t="s">
        <v>444</v>
      </c>
      <c r="F9" t="s">
        <v>138</v>
      </c>
      <c r="H9" s="41">
        <v>1800</v>
      </c>
    </row>
    <row r="10" spans="1:11" x14ac:dyDescent="0.4">
      <c r="E10" s="21"/>
      <c r="H10" s="41"/>
    </row>
    <row r="12" spans="1:11" x14ac:dyDescent="0.4">
      <c r="F12" s="10"/>
      <c r="G12" s="10"/>
      <c r="H12" s="44"/>
    </row>
    <row r="18" spans="5:8" x14ac:dyDescent="0.4">
      <c r="E18" s="135" t="s">
        <v>260</v>
      </c>
      <c r="F18" s="136"/>
      <c r="G18" s="135"/>
      <c r="H18" s="137">
        <f>SUM(H9:H17)</f>
        <v>1800</v>
      </c>
    </row>
    <row r="20" spans="5:8" x14ac:dyDescent="0.4">
      <c r="E20" s="138" t="s">
        <v>135</v>
      </c>
      <c r="F20" s="138"/>
      <c r="G20" s="138"/>
      <c r="H20" s="139">
        <f>H4-H18</f>
        <v>0</v>
      </c>
    </row>
  </sheetData>
  <hyperlinks>
    <hyperlink ref="K1" location="'Project Status'!A1" display="'Project Status'!A1" xr:uid="{E8AF03FD-36BC-478B-A99A-0100932F1994}"/>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5574-BF9D-41FB-8037-EB6DE970B909}">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69140625" bestFit="1" customWidth="1"/>
    <col min="4" max="4" width="37.69140625" bestFit="1" customWidth="1"/>
    <col min="5" max="5" width="29.3046875" bestFit="1" customWidth="1"/>
    <col min="6" max="6" width="6.304687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20979</v>
      </c>
      <c r="B4" s="11">
        <f>VLOOKUP(A4,'Project Status'!C:D,2,FALSE)</f>
        <v>9</v>
      </c>
      <c r="C4" s="11" t="str">
        <f>VLOOKUP(A4,'Project Status'!C:E,3,FALSE)</f>
        <v>CP_400330</v>
      </c>
      <c r="D4" s="11" t="str">
        <f>VLOOKUP(A4,'Project Status'!C:F,4,FALSE)</f>
        <v>15000 - Engineering: Office of the Dean</v>
      </c>
      <c r="E4" s="11" t="str">
        <f>VLOOKUP(A4,'Project Status'!C:I,7,FALSE)</f>
        <v>1025 16th Avenue - Roof Replacement</v>
      </c>
      <c r="F4" s="11" t="str">
        <f>VLOOKUP(A4,'Project Status'!C:K,9,FALSE)</f>
        <v>Construction</v>
      </c>
      <c r="G4" s="11" t="str">
        <f>VLOOKUP(A4,'Project Status'!C:L,10,FALSE)</f>
        <v>Kylie Mignoli</v>
      </c>
      <c r="H4" s="88">
        <f>VLOOKUP(A4,'Project Status'!C:N,12,FALSE)</f>
        <v>529750</v>
      </c>
      <c r="I4" s="172">
        <f>VLOOKUP(A4,'Project Status'!C:Q,15,FALSE)</f>
        <v>0</v>
      </c>
    </row>
    <row r="8" spans="1:11" x14ac:dyDescent="0.4">
      <c r="E8" s="40" t="s">
        <v>123</v>
      </c>
    </row>
    <row r="9" spans="1:11" x14ac:dyDescent="0.4">
      <c r="E9" s="21" t="s">
        <v>569</v>
      </c>
      <c r="F9" t="s">
        <v>138</v>
      </c>
      <c r="H9" s="41">
        <v>529750</v>
      </c>
    </row>
    <row r="10" spans="1:11" x14ac:dyDescent="0.4">
      <c r="E10" s="21"/>
      <c r="H10" s="41"/>
    </row>
    <row r="12" spans="1:11" x14ac:dyDescent="0.4">
      <c r="F12" s="10"/>
      <c r="G12" s="10"/>
      <c r="H12" s="44"/>
    </row>
    <row r="18" spans="5:8" x14ac:dyDescent="0.4">
      <c r="E18" s="135" t="s">
        <v>260</v>
      </c>
      <c r="F18" s="136"/>
      <c r="G18" s="135"/>
      <c r="H18" s="137">
        <f>SUM(H9:H17)</f>
        <v>529750</v>
      </c>
    </row>
    <row r="20" spans="5:8" x14ac:dyDescent="0.4">
      <c r="E20" s="138" t="s">
        <v>135</v>
      </c>
      <c r="F20" s="138"/>
      <c r="G20" s="138"/>
      <c r="H20" s="139">
        <f>H4-H18</f>
        <v>0</v>
      </c>
    </row>
  </sheetData>
  <hyperlinks>
    <hyperlink ref="K1" location="'Project Status'!A1" display="'Project Status'!A1" xr:uid="{80882098-55DD-4425-9FFF-D195586FC27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35"/>
  <sheetViews>
    <sheetView zoomScaleNormal="100" workbookViewId="0">
      <pane ySplit="3" topLeftCell="A4" activePane="bottomLeft" state="frozen"/>
      <selection activeCell="D92" sqref="D92"/>
      <selection pane="bottomLeft" activeCell="D92" sqref="D92"/>
    </sheetView>
  </sheetViews>
  <sheetFormatPr defaultRowHeight="14.6" x14ac:dyDescent="0.4"/>
  <cols>
    <col min="1" max="1" width="47.3046875" bestFit="1" customWidth="1"/>
    <col min="2" max="2" width="15.69140625" style="205" bestFit="1" customWidth="1"/>
    <col min="3" max="3" width="16.3046875" style="205" bestFit="1" customWidth="1"/>
    <col min="4" max="4" width="16" bestFit="1" customWidth="1"/>
  </cols>
  <sheetData>
    <row r="1" spans="1:3" s="8" customFormat="1" x14ac:dyDescent="0.4">
      <c r="A1" s="10" t="s">
        <v>202</v>
      </c>
      <c r="B1" s="205"/>
      <c r="C1" s="205"/>
    </row>
    <row r="3" spans="1:3" x14ac:dyDescent="0.4">
      <c r="A3" s="24" t="s">
        <v>114</v>
      </c>
      <c r="B3" s="205" t="s">
        <v>118</v>
      </c>
      <c r="C3" s="205" t="s">
        <v>116</v>
      </c>
    </row>
    <row r="4" spans="1:3" x14ac:dyDescent="0.4">
      <c r="A4" s="25" t="s">
        <v>163</v>
      </c>
      <c r="B4" s="224">
        <v>1550000</v>
      </c>
      <c r="C4" s="224">
        <v>1545360</v>
      </c>
    </row>
    <row r="5" spans="1:3" x14ac:dyDescent="0.4">
      <c r="A5" s="25" t="s">
        <v>367</v>
      </c>
      <c r="B5" s="224">
        <v>310000</v>
      </c>
      <c r="C5" s="224">
        <v>309548.64</v>
      </c>
    </row>
    <row r="6" spans="1:3" x14ac:dyDescent="0.4">
      <c r="A6" s="25" t="s">
        <v>392</v>
      </c>
      <c r="B6" s="224">
        <v>270000</v>
      </c>
      <c r="C6" s="224">
        <v>529750</v>
      </c>
    </row>
    <row r="7" spans="1:3" x14ac:dyDescent="0.4">
      <c r="A7" s="25" t="s">
        <v>412</v>
      </c>
      <c r="B7" s="224">
        <v>485000</v>
      </c>
      <c r="C7" s="224">
        <v>486135</v>
      </c>
    </row>
    <row r="8" spans="1:3" x14ac:dyDescent="0.4">
      <c r="A8" s="25" t="s">
        <v>454</v>
      </c>
      <c r="B8" s="224">
        <v>5000</v>
      </c>
      <c r="C8" s="224">
        <v>5000</v>
      </c>
    </row>
    <row r="9" spans="1:3" x14ac:dyDescent="0.4">
      <c r="A9" s="25" t="s">
        <v>115</v>
      </c>
      <c r="B9" s="224">
        <v>2620000</v>
      </c>
      <c r="C9" s="224">
        <v>2875793.64</v>
      </c>
    </row>
    <row r="10" spans="1:3" x14ac:dyDescent="0.4">
      <c r="B10"/>
      <c r="C10"/>
    </row>
    <row r="11" spans="1:3" x14ac:dyDescent="0.4">
      <c r="B11"/>
      <c r="C11"/>
    </row>
    <row r="12" spans="1:3" x14ac:dyDescent="0.4">
      <c r="B12"/>
      <c r="C12"/>
    </row>
    <row r="13" spans="1:3" x14ac:dyDescent="0.4">
      <c r="B13"/>
      <c r="C13"/>
    </row>
    <row r="14" spans="1:3" x14ac:dyDescent="0.4">
      <c r="B14"/>
      <c r="C14"/>
    </row>
    <row r="15" spans="1:3" x14ac:dyDescent="0.4">
      <c r="B15"/>
      <c r="C15"/>
    </row>
    <row r="16" spans="1:3" x14ac:dyDescent="0.4">
      <c r="B16"/>
      <c r="C16"/>
    </row>
    <row r="17" spans="2:3" x14ac:dyDescent="0.4">
      <c r="B17"/>
      <c r="C17"/>
    </row>
    <row r="18" spans="2:3" x14ac:dyDescent="0.4">
      <c r="B18"/>
      <c r="C18"/>
    </row>
    <row r="19" spans="2:3" x14ac:dyDescent="0.4">
      <c r="B19"/>
      <c r="C19"/>
    </row>
    <row r="20" spans="2:3" x14ac:dyDescent="0.4">
      <c r="B20"/>
      <c r="C20"/>
    </row>
    <row r="21" spans="2:3" x14ac:dyDescent="0.4">
      <c r="B21"/>
      <c r="C21"/>
    </row>
    <row r="22" spans="2:3" x14ac:dyDescent="0.4">
      <c r="B22"/>
      <c r="C22"/>
    </row>
    <row r="23" spans="2:3" x14ac:dyDescent="0.4">
      <c r="B23"/>
      <c r="C23"/>
    </row>
    <row r="24" spans="2:3" x14ac:dyDescent="0.4">
      <c r="B24"/>
      <c r="C24"/>
    </row>
    <row r="25" spans="2:3" x14ac:dyDescent="0.4">
      <c r="B25"/>
      <c r="C25"/>
    </row>
    <row r="26" spans="2:3" x14ac:dyDescent="0.4">
      <c r="B26"/>
      <c r="C26"/>
    </row>
    <row r="27" spans="2:3" x14ac:dyDescent="0.4">
      <c r="B27"/>
      <c r="C27"/>
    </row>
    <row r="28" spans="2:3" x14ac:dyDescent="0.4">
      <c r="B28"/>
      <c r="C28"/>
    </row>
    <row r="29" spans="2:3" x14ac:dyDescent="0.4">
      <c r="B29"/>
      <c r="C29"/>
    </row>
    <row r="30" spans="2:3" x14ac:dyDescent="0.4">
      <c r="B30"/>
      <c r="C30"/>
    </row>
    <row r="31" spans="2:3" x14ac:dyDescent="0.4">
      <c r="B31"/>
      <c r="C31"/>
    </row>
    <row r="32" spans="2:3" x14ac:dyDescent="0.4">
      <c r="B32"/>
      <c r="C32"/>
    </row>
    <row r="33" spans="2:3" x14ac:dyDescent="0.4">
      <c r="B33"/>
      <c r="C33"/>
    </row>
    <row r="34" spans="2:3" x14ac:dyDescent="0.4">
      <c r="B34"/>
      <c r="C34"/>
    </row>
    <row r="35" spans="2:3" x14ac:dyDescent="0.4">
      <c r="B35"/>
      <c r="C35"/>
    </row>
    <row r="36" spans="2:3" x14ac:dyDescent="0.4">
      <c r="B36"/>
      <c r="C36"/>
    </row>
    <row r="37" spans="2:3" x14ac:dyDescent="0.4">
      <c r="B37"/>
      <c r="C37"/>
    </row>
    <row r="38" spans="2:3" x14ac:dyDescent="0.4">
      <c r="B38"/>
      <c r="C38"/>
    </row>
    <row r="39" spans="2:3" x14ac:dyDescent="0.4">
      <c r="B39"/>
      <c r="C39"/>
    </row>
    <row r="40" spans="2:3" x14ac:dyDescent="0.4">
      <c r="B40"/>
      <c r="C40"/>
    </row>
    <row r="41" spans="2:3" x14ac:dyDescent="0.4">
      <c r="B41"/>
      <c r="C41"/>
    </row>
    <row r="42" spans="2:3" x14ac:dyDescent="0.4">
      <c r="B42"/>
      <c r="C42"/>
    </row>
    <row r="43" spans="2:3" x14ac:dyDescent="0.4">
      <c r="B43"/>
      <c r="C43"/>
    </row>
    <row r="44" spans="2:3" x14ac:dyDescent="0.4">
      <c r="B44"/>
      <c r="C44"/>
    </row>
    <row r="45" spans="2:3" x14ac:dyDescent="0.4">
      <c r="B45"/>
      <c r="C45"/>
    </row>
    <row r="46" spans="2:3" x14ac:dyDescent="0.4">
      <c r="B46"/>
      <c r="C46"/>
    </row>
    <row r="47" spans="2:3" x14ac:dyDescent="0.4">
      <c r="B47"/>
      <c r="C47"/>
    </row>
    <row r="48" spans="2:3" x14ac:dyDescent="0.4">
      <c r="B48"/>
      <c r="C48"/>
    </row>
    <row r="49" spans="2:3" x14ac:dyDescent="0.4">
      <c r="B49"/>
      <c r="C49"/>
    </row>
    <row r="50" spans="2:3" x14ac:dyDescent="0.4">
      <c r="B50"/>
      <c r="C50"/>
    </row>
    <row r="51" spans="2:3" x14ac:dyDescent="0.4">
      <c r="B51"/>
      <c r="C51"/>
    </row>
    <row r="52" spans="2:3" x14ac:dyDescent="0.4">
      <c r="B52"/>
      <c r="C52"/>
    </row>
    <row r="53" spans="2:3" x14ac:dyDescent="0.4">
      <c r="B53"/>
      <c r="C53"/>
    </row>
    <row r="54" spans="2:3" x14ac:dyDescent="0.4">
      <c r="B54"/>
      <c r="C54"/>
    </row>
    <row r="55" spans="2:3" x14ac:dyDescent="0.4">
      <c r="B55"/>
      <c r="C55"/>
    </row>
    <row r="56" spans="2:3" x14ac:dyDescent="0.4">
      <c r="B56"/>
      <c r="C56"/>
    </row>
    <row r="57" spans="2:3" x14ac:dyDescent="0.4">
      <c r="B57"/>
      <c r="C57"/>
    </row>
    <row r="58" spans="2:3" x14ac:dyDescent="0.4">
      <c r="B58"/>
      <c r="C58"/>
    </row>
    <row r="59" spans="2:3" x14ac:dyDescent="0.4">
      <c r="B59"/>
      <c r="C59"/>
    </row>
    <row r="60" spans="2:3" x14ac:dyDescent="0.4">
      <c r="B60"/>
      <c r="C60"/>
    </row>
    <row r="61" spans="2:3" x14ac:dyDescent="0.4">
      <c r="B61"/>
      <c r="C61"/>
    </row>
    <row r="62" spans="2:3" x14ac:dyDescent="0.4">
      <c r="B62"/>
      <c r="C62"/>
    </row>
    <row r="63" spans="2:3" x14ac:dyDescent="0.4">
      <c r="B63"/>
      <c r="C63"/>
    </row>
    <row r="64" spans="2:3" x14ac:dyDescent="0.4">
      <c r="B64"/>
      <c r="C64"/>
    </row>
    <row r="65" spans="2:3" x14ac:dyDescent="0.4">
      <c r="B65"/>
      <c r="C65"/>
    </row>
    <row r="66" spans="2:3" x14ac:dyDescent="0.4">
      <c r="B66"/>
      <c r="C66"/>
    </row>
    <row r="67" spans="2:3" x14ac:dyDescent="0.4">
      <c r="B67"/>
      <c r="C67"/>
    </row>
    <row r="68" spans="2:3" x14ac:dyDescent="0.4">
      <c r="B68"/>
      <c r="C68"/>
    </row>
    <row r="69" spans="2:3" x14ac:dyDescent="0.4">
      <c r="B69"/>
      <c r="C69"/>
    </row>
    <row r="70" spans="2:3" x14ac:dyDescent="0.4">
      <c r="B70"/>
      <c r="C70"/>
    </row>
    <row r="71" spans="2:3" x14ac:dyDescent="0.4">
      <c r="B71"/>
      <c r="C71"/>
    </row>
    <row r="72" spans="2:3" x14ac:dyDescent="0.4">
      <c r="B72"/>
      <c r="C72"/>
    </row>
    <row r="73" spans="2:3" x14ac:dyDescent="0.4">
      <c r="B73"/>
      <c r="C73"/>
    </row>
    <row r="74" spans="2:3" x14ac:dyDescent="0.4">
      <c r="B74"/>
      <c r="C74"/>
    </row>
    <row r="75" spans="2:3" x14ac:dyDescent="0.4">
      <c r="B75"/>
      <c r="C75"/>
    </row>
    <row r="76" spans="2:3" x14ac:dyDescent="0.4">
      <c r="B76"/>
      <c r="C76"/>
    </row>
    <row r="77" spans="2:3" x14ac:dyDescent="0.4">
      <c r="B77"/>
      <c r="C77"/>
    </row>
    <row r="78" spans="2:3" x14ac:dyDescent="0.4">
      <c r="B78"/>
      <c r="C78"/>
    </row>
    <row r="79" spans="2:3" x14ac:dyDescent="0.4">
      <c r="B79"/>
      <c r="C79"/>
    </row>
    <row r="80" spans="2:3" x14ac:dyDescent="0.4">
      <c r="B80"/>
      <c r="C80"/>
    </row>
    <row r="81" spans="2:3" x14ac:dyDescent="0.4">
      <c r="B81"/>
      <c r="C81"/>
    </row>
    <row r="82" spans="2:3" x14ac:dyDescent="0.4">
      <c r="B82"/>
      <c r="C82"/>
    </row>
    <row r="83" spans="2:3" x14ac:dyDescent="0.4">
      <c r="B83"/>
      <c r="C83"/>
    </row>
    <row r="84" spans="2:3" x14ac:dyDescent="0.4">
      <c r="B84"/>
      <c r="C84"/>
    </row>
    <row r="85" spans="2:3" x14ac:dyDescent="0.4">
      <c r="B85"/>
      <c r="C85"/>
    </row>
    <row r="86" spans="2:3" x14ac:dyDescent="0.4">
      <c r="B86"/>
      <c r="C86"/>
    </row>
    <row r="87" spans="2:3" x14ac:dyDescent="0.4">
      <c r="B87"/>
      <c r="C87"/>
    </row>
    <row r="88" spans="2:3" x14ac:dyDescent="0.4">
      <c r="B88"/>
      <c r="C88"/>
    </row>
    <row r="89" spans="2:3" x14ac:dyDescent="0.4">
      <c r="B89"/>
      <c r="C89"/>
    </row>
    <row r="90" spans="2:3" x14ac:dyDescent="0.4">
      <c r="B90"/>
      <c r="C90"/>
    </row>
    <row r="91" spans="2:3" x14ac:dyDescent="0.4">
      <c r="B91"/>
      <c r="C91"/>
    </row>
    <row r="92" spans="2:3" x14ac:dyDescent="0.4">
      <c r="B92"/>
      <c r="C92"/>
    </row>
    <row r="93" spans="2:3" x14ac:dyDescent="0.4">
      <c r="B93"/>
      <c r="C93"/>
    </row>
    <row r="94" spans="2:3" x14ac:dyDescent="0.4">
      <c r="B94"/>
      <c r="C94"/>
    </row>
    <row r="95" spans="2:3" x14ac:dyDescent="0.4">
      <c r="B95"/>
      <c r="C95"/>
    </row>
    <row r="96" spans="2:3" x14ac:dyDescent="0.4">
      <c r="B96"/>
      <c r="C96"/>
    </row>
    <row r="97" spans="2:3" x14ac:dyDescent="0.4">
      <c r="B97"/>
      <c r="C97"/>
    </row>
    <row r="98" spans="2:3" x14ac:dyDescent="0.4">
      <c r="B98"/>
      <c r="C98"/>
    </row>
    <row r="99" spans="2:3" x14ac:dyDescent="0.4">
      <c r="B99"/>
      <c r="C99"/>
    </row>
    <row r="100" spans="2:3" x14ac:dyDescent="0.4">
      <c r="B100"/>
      <c r="C100"/>
    </row>
    <row r="101" spans="2:3" x14ac:dyDescent="0.4">
      <c r="B101"/>
      <c r="C101"/>
    </row>
    <row r="102" spans="2:3" x14ac:dyDescent="0.4">
      <c r="B102"/>
      <c r="C102"/>
    </row>
    <row r="103" spans="2:3" x14ac:dyDescent="0.4">
      <c r="B103"/>
      <c r="C103"/>
    </row>
    <row r="104" spans="2:3" x14ac:dyDescent="0.4">
      <c r="B104"/>
      <c r="C104"/>
    </row>
    <row r="105" spans="2:3" x14ac:dyDescent="0.4">
      <c r="B105"/>
      <c r="C105"/>
    </row>
    <row r="106" spans="2:3" x14ac:dyDescent="0.4">
      <c r="B106"/>
      <c r="C106"/>
    </row>
    <row r="107" spans="2:3" x14ac:dyDescent="0.4">
      <c r="B107"/>
      <c r="C107"/>
    </row>
    <row r="108" spans="2:3" x14ac:dyDescent="0.4">
      <c r="B108"/>
      <c r="C108"/>
    </row>
    <row r="109" spans="2:3" x14ac:dyDescent="0.4">
      <c r="B109"/>
      <c r="C109"/>
    </row>
    <row r="110" spans="2:3" x14ac:dyDescent="0.4">
      <c r="B110"/>
      <c r="C110"/>
    </row>
    <row r="111" spans="2:3" x14ac:dyDescent="0.4">
      <c r="B111"/>
      <c r="C111"/>
    </row>
    <row r="112" spans="2:3" x14ac:dyDescent="0.4">
      <c r="B112"/>
      <c r="C112"/>
    </row>
    <row r="113" spans="2:3" x14ac:dyDescent="0.4">
      <c r="B113"/>
      <c r="C113"/>
    </row>
    <row r="114" spans="2:3" x14ac:dyDescent="0.4">
      <c r="B114"/>
      <c r="C114"/>
    </row>
    <row r="115" spans="2:3" x14ac:dyDescent="0.4">
      <c r="B115"/>
      <c r="C115"/>
    </row>
    <row r="116" spans="2:3" x14ac:dyDescent="0.4">
      <c r="B116"/>
      <c r="C116"/>
    </row>
    <row r="117" spans="2:3" x14ac:dyDescent="0.4">
      <c r="B117"/>
      <c r="C117"/>
    </row>
    <row r="118" spans="2:3" x14ac:dyDescent="0.4">
      <c r="B118"/>
      <c r="C118"/>
    </row>
    <row r="119" spans="2:3" x14ac:dyDescent="0.4">
      <c r="B119"/>
      <c r="C119"/>
    </row>
    <row r="120" spans="2:3" x14ac:dyDescent="0.4">
      <c r="B120"/>
      <c r="C120"/>
    </row>
    <row r="121" spans="2:3" x14ac:dyDescent="0.4">
      <c r="B121"/>
      <c r="C121"/>
    </row>
    <row r="122" spans="2:3" x14ac:dyDescent="0.4">
      <c r="B122"/>
      <c r="C122"/>
    </row>
    <row r="123" spans="2:3" x14ac:dyDescent="0.4">
      <c r="B123"/>
      <c r="C123"/>
    </row>
    <row r="124" spans="2:3" x14ac:dyDescent="0.4">
      <c r="B124"/>
      <c r="C124"/>
    </row>
    <row r="125" spans="2:3" x14ac:dyDescent="0.4">
      <c r="B125"/>
      <c r="C125"/>
    </row>
    <row r="126" spans="2:3" x14ac:dyDescent="0.4">
      <c r="B126"/>
      <c r="C126"/>
    </row>
    <row r="127" spans="2:3" x14ac:dyDescent="0.4">
      <c r="B127"/>
      <c r="C127"/>
    </row>
    <row r="128" spans="2:3" x14ac:dyDescent="0.4">
      <c r="B128"/>
      <c r="C128"/>
    </row>
    <row r="129" spans="2:3" x14ac:dyDescent="0.4">
      <c r="B129"/>
      <c r="C129"/>
    </row>
    <row r="130" spans="2:3" x14ac:dyDescent="0.4">
      <c r="B130"/>
      <c r="C130"/>
    </row>
    <row r="131" spans="2:3" x14ac:dyDescent="0.4">
      <c r="B131"/>
      <c r="C131"/>
    </row>
    <row r="132" spans="2:3" x14ac:dyDescent="0.4">
      <c r="B132"/>
      <c r="C132"/>
    </row>
    <row r="133" spans="2:3" x14ac:dyDescent="0.4">
      <c r="B133"/>
      <c r="C133"/>
    </row>
    <row r="134" spans="2:3" x14ac:dyDescent="0.4">
      <c r="B134"/>
      <c r="C134"/>
    </row>
    <row r="135" spans="2:3" x14ac:dyDescent="0.4">
      <c r="B135"/>
      <c r="C135"/>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10.3046875" bestFit="1" customWidth="1"/>
    <col min="4" max="4" width="25.53515625" bestFit="1" customWidth="1"/>
    <col min="5" max="5" width="33.3046875" bestFit="1" customWidth="1"/>
    <col min="6" max="6" width="11.69140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20982</v>
      </c>
      <c r="B4" s="11">
        <f>VLOOKUP(A4,'Project Status'!C:D,2,FALSE)</f>
        <v>8442</v>
      </c>
      <c r="C4" s="11" t="str">
        <f>VLOOKUP(A4,'Project Status'!C:E,3,FALSE)</f>
        <v>CP_400270</v>
      </c>
      <c r="D4" s="11" t="str">
        <f>VLOOKUP(A4,'Project Status'!C:F,4,FALSE)</f>
        <v>17100 - Law: Business Affairs</v>
      </c>
      <c r="E4" s="11" t="str">
        <f>VLOOKUP(A4,'Project Status'!C:I,7,FALSE)</f>
        <v>Law School - Elevator 1 Modernization</v>
      </c>
      <c r="F4" s="11" t="str">
        <f>VLOOKUP(A4,'Project Status'!C:K,9,FALSE)</f>
        <v>Construction Closeout</v>
      </c>
      <c r="G4" s="11" t="str">
        <f>VLOOKUP(A4,'Project Status'!C:L,10,FALSE)</f>
        <v>Ben Bedock</v>
      </c>
      <c r="H4" s="88">
        <f>VLOOKUP(A4,'Project Status'!C:N,12,FALSE)</f>
        <v>272000</v>
      </c>
      <c r="I4" s="172">
        <f>VLOOKUP(A4,'Project Status'!C:Q,15,FALSE)</f>
        <v>80518</v>
      </c>
    </row>
    <row r="8" spans="1:11" x14ac:dyDescent="0.4">
      <c r="E8" s="40" t="s">
        <v>123</v>
      </c>
    </row>
    <row r="9" spans="1:11" x14ac:dyDescent="0.4">
      <c r="E9" s="21" t="s">
        <v>396</v>
      </c>
      <c r="F9" t="s">
        <v>138</v>
      </c>
      <c r="H9" s="41">
        <v>18175</v>
      </c>
    </row>
    <row r="10" spans="1:11" x14ac:dyDescent="0.4">
      <c r="E10" s="21" t="s">
        <v>429</v>
      </c>
      <c r="F10" t="s">
        <v>211</v>
      </c>
      <c r="H10" s="41">
        <v>253825</v>
      </c>
    </row>
    <row r="12" spans="1:11" x14ac:dyDescent="0.4">
      <c r="F12" s="10"/>
      <c r="G12" s="10"/>
      <c r="H12" s="44"/>
    </row>
    <row r="18" spans="5:8" x14ac:dyDescent="0.4">
      <c r="E18" s="135" t="s">
        <v>260</v>
      </c>
      <c r="F18" s="136"/>
      <c r="G18" s="135"/>
      <c r="H18" s="137">
        <f>SUM(H9:H17)</f>
        <v>272000</v>
      </c>
    </row>
    <row r="20" spans="5:8" x14ac:dyDescent="0.4">
      <c r="E20" s="138" t="s">
        <v>135</v>
      </c>
      <c r="F20" s="138"/>
      <c r="G20" s="138"/>
      <c r="H20" s="139">
        <f>H4-H18</f>
        <v>0</v>
      </c>
    </row>
  </sheetData>
  <phoneticPr fontId="5" type="noConversion"/>
  <hyperlinks>
    <hyperlink ref="K1" location="'Project Status'!A1" display="'Project Status'!A1" xr:uid="{971C022E-07DF-4C69-A083-9159FE5383CD}"/>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37.30468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20984</v>
      </c>
      <c r="B4" s="11">
        <f>VLOOKUP(A4,'Project Status'!C:D,2,FALSE)</f>
        <v>8712</v>
      </c>
      <c r="C4" s="11">
        <f>VLOOKUP(A4,'Project Status'!C:E,3,FALSE)</f>
        <v>0</v>
      </c>
      <c r="D4" s="11" t="str">
        <f>VLOOKUP(A4,'Project Status'!C:F,4,FALSE)</f>
        <v>12000 - Arts and Science: Office of the Dean</v>
      </c>
      <c r="E4" s="11" t="str">
        <f>VLOOKUP(A4,'Project Status'!C:I,7,FALSE)</f>
        <v>Wilson Hall - 1st Floor Urinal Replacement</v>
      </c>
      <c r="F4" s="11" t="str">
        <f>VLOOKUP(A4,'Project Status'!C:K,9,FALSE)</f>
        <v>Financial Closeout</v>
      </c>
      <c r="G4" s="11" t="str">
        <f>VLOOKUP(A4,'Project Status'!C:L,10,FALSE)</f>
        <v>Hans Mooy</v>
      </c>
      <c r="H4" s="88">
        <f>VLOOKUP(A4,'Project Status'!C:N,12,FALSE)</f>
        <v>167000</v>
      </c>
      <c r="I4" s="172">
        <f>VLOOKUP(A4,'Project Status'!C:Q,15,FALSE)</f>
        <v>136652</v>
      </c>
    </row>
    <row r="6" spans="1:11" x14ac:dyDescent="0.4">
      <c r="I6" s="42"/>
    </row>
    <row r="8" spans="1:11" x14ac:dyDescent="0.4">
      <c r="E8" s="40" t="s">
        <v>123</v>
      </c>
    </row>
    <row r="9" spans="1:11" x14ac:dyDescent="0.4">
      <c r="E9" s="21" t="s">
        <v>427</v>
      </c>
      <c r="F9" t="s">
        <v>138</v>
      </c>
      <c r="H9" s="41">
        <v>167000</v>
      </c>
    </row>
    <row r="10" spans="1:11" x14ac:dyDescent="0.4">
      <c r="E10" s="21"/>
      <c r="H10" s="41"/>
    </row>
    <row r="12" spans="1:11" x14ac:dyDescent="0.4">
      <c r="F12" s="10"/>
      <c r="G12" s="10"/>
      <c r="H12" s="44"/>
    </row>
    <row r="18" spans="5:8" x14ac:dyDescent="0.4">
      <c r="E18" s="135" t="s">
        <v>260</v>
      </c>
      <c r="F18" s="136"/>
      <c r="G18" s="135"/>
      <c r="H18" s="137">
        <f>SUM(H9:H17)</f>
        <v>167000</v>
      </c>
    </row>
    <row r="20" spans="5:8" x14ac:dyDescent="0.4">
      <c r="E20" s="138" t="s">
        <v>135</v>
      </c>
      <c r="F20" s="138"/>
      <c r="G20" s="138"/>
      <c r="H20" s="139">
        <f>H4-H18</f>
        <v>0</v>
      </c>
    </row>
  </sheetData>
  <hyperlinks>
    <hyperlink ref="K1" location="'Project Status'!A1" display="'Project Status'!A1" xr:uid="{EF83A2D8-BED0-47B7-8C05-2C9B4E6C8B86}"/>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F24-C424-4F79-A80C-D9A38B06ECC3}">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38.3046875" bestFit="1" customWidth="1"/>
    <col min="6" max="6" width="22.53515625" bestFit="1" customWidth="1"/>
    <col min="7" max="7" width="13.07421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21004</v>
      </c>
      <c r="B4" s="11">
        <f>VLOOKUP(A4,'Project Status'!C:D,2,FALSE)</f>
        <v>1010</v>
      </c>
      <c r="C4" s="11" t="str">
        <f>VLOOKUP(A4,'Project Status'!C:E,3,FALSE)</f>
        <v>CP_400332</v>
      </c>
      <c r="D4" s="11" t="str">
        <f>VLOOKUP(A4,'Project Status'!C:F,4,FALSE)</f>
        <v>12000 - Arts and Science: Office of the Dean</v>
      </c>
      <c r="E4" s="11" t="str">
        <f>VLOOKUP(A4,'Project Status'!C:I,7,FALSE)</f>
        <v>SC5 - HVAC Upgrade Floors 1 and 2 (Phase 1)</v>
      </c>
      <c r="F4" s="11" t="str">
        <f>VLOOKUP(A4,'Project Status'!C:K,9,FALSE)</f>
        <v>Construction</v>
      </c>
      <c r="G4" s="11" t="str">
        <f>VLOOKUP(A4,'Project Status'!C:L,10,FALSE)</f>
        <v>Jay Surprenant</v>
      </c>
      <c r="H4" s="88">
        <f>VLOOKUP(A4,'Project Status'!C:N,12,FALSE)</f>
        <v>992453</v>
      </c>
      <c r="I4" s="172">
        <f>VLOOKUP(A4,'Project Status'!C:Q,15,FALSE)</f>
        <v>35200</v>
      </c>
    </row>
    <row r="8" spans="1:11" x14ac:dyDescent="0.4">
      <c r="E8" s="40" t="s">
        <v>123</v>
      </c>
    </row>
    <row r="9" spans="1:11" x14ac:dyDescent="0.4">
      <c r="E9" t="s">
        <v>429</v>
      </c>
      <c r="F9" t="s">
        <v>138</v>
      </c>
      <c r="H9" s="41">
        <v>54000</v>
      </c>
    </row>
    <row r="10" spans="1:11" x14ac:dyDescent="0.4">
      <c r="E10" t="s">
        <v>473</v>
      </c>
      <c r="F10" t="s">
        <v>211</v>
      </c>
      <c r="H10" s="41">
        <v>938453</v>
      </c>
    </row>
    <row r="12" spans="1:11" x14ac:dyDescent="0.4">
      <c r="F12" s="10"/>
      <c r="G12" s="10"/>
      <c r="H12" s="44"/>
    </row>
    <row r="18" spans="5:8" x14ac:dyDescent="0.4">
      <c r="E18" s="135" t="s">
        <v>260</v>
      </c>
      <c r="F18" s="136"/>
      <c r="G18" s="135"/>
      <c r="H18" s="137">
        <f>SUM(H9:H17)</f>
        <v>992453</v>
      </c>
    </row>
    <row r="20" spans="5:8" x14ac:dyDescent="0.4">
      <c r="E20" s="138" t="s">
        <v>135</v>
      </c>
      <c r="F20" s="138"/>
      <c r="G20" s="138"/>
      <c r="H20" s="139">
        <f>H4-H18</f>
        <v>0</v>
      </c>
    </row>
  </sheetData>
  <hyperlinks>
    <hyperlink ref="K1" location="'Project Status'!A1" display="'Project Status'!A1" xr:uid="{3F7B5724-6E4A-4D29-9CC2-CE94772EC866}"/>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2ED7-DE67-4022-B6B9-88348E71687E}">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47.69140625" bestFit="1" customWidth="1"/>
    <col min="6" max="6" width="22.53515625" bestFit="1" customWidth="1"/>
    <col min="7" max="7" width="11.3046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21010</v>
      </c>
      <c r="B4" s="11">
        <f>VLOOKUP(A4,'Project Status'!C:D,2,FALSE)</f>
        <v>0</v>
      </c>
      <c r="C4" s="11" t="str">
        <f>VLOOKUP(A4,'Project Status'!C:E,3,FALSE)</f>
        <v>CP_400312</v>
      </c>
      <c r="D4" s="11" t="str">
        <f>VLOOKUP(A4,'Project Status'!C:F,4,FALSE)</f>
        <v>15000 - Engineering: Office of the Dean</v>
      </c>
      <c r="E4" s="11" t="str">
        <f>VLOOKUP(A4,'Project Status'!C:I,7,FALSE)</f>
        <v>Featheringill-Jacobs Hall - Hot Water Tank Replacement</v>
      </c>
      <c r="F4" s="11" t="str">
        <f>VLOOKUP(A4,'Project Status'!C:K,9,FALSE)</f>
        <v>Financial Closeout</v>
      </c>
      <c r="G4" s="11" t="str">
        <f>VLOOKUP(A4,'Project Status'!C:L,10,FALSE)</f>
        <v>Sean Rewers</v>
      </c>
      <c r="H4" s="88">
        <f>VLOOKUP(A4,'Project Status'!C:N,12,FALSE)</f>
        <v>126024</v>
      </c>
      <c r="I4" s="172">
        <f>VLOOKUP(A4,'Project Status'!C:Q,15,FALSE)</f>
        <v>111595.98</v>
      </c>
    </row>
    <row r="8" spans="1:11" x14ac:dyDescent="0.4">
      <c r="E8" s="40" t="s">
        <v>123</v>
      </c>
    </row>
    <row r="9" spans="1:11" x14ac:dyDescent="0.4">
      <c r="E9" s="21" t="s">
        <v>465</v>
      </c>
      <c r="F9" t="s">
        <v>138</v>
      </c>
      <c r="H9" s="41">
        <v>126024</v>
      </c>
    </row>
    <row r="10" spans="1:11" x14ac:dyDescent="0.4">
      <c r="E10" s="21"/>
      <c r="H10" s="41"/>
    </row>
    <row r="12" spans="1:11" x14ac:dyDescent="0.4">
      <c r="F12" s="10"/>
      <c r="G12" s="10"/>
      <c r="H12" s="44"/>
    </row>
    <row r="18" spans="5:8" x14ac:dyDescent="0.4">
      <c r="E18" s="135" t="s">
        <v>260</v>
      </c>
      <c r="F18" s="136"/>
      <c r="G18" s="135"/>
      <c r="H18" s="137">
        <f>SUM(H9:H17)</f>
        <v>126024</v>
      </c>
    </row>
    <row r="20" spans="5:8" x14ac:dyDescent="0.4">
      <c r="E20" s="138" t="s">
        <v>135</v>
      </c>
      <c r="F20" s="138"/>
      <c r="G20" s="138"/>
      <c r="H20" s="139">
        <f>H4-H18</f>
        <v>0</v>
      </c>
    </row>
  </sheetData>
  <hyperlinks>
    <hyperlink ref="K1" location="'Project Status'!A1" display="'Project Status'!A1" xr:uid="{33D90F1A-B38A-42B9-9EA2-242D0DAA4B46}"/>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F9F3-5F19-4F05-8A29-8388DB769A8E}">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47.69140625" bestFit="1" customWidth="1"/>
    <col min="6" max="6" width="22.53515625" bestFit="1" customWidth="1"/>
    <col min="7" max="7" width="11.3046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21035</v>
      </c>
      <c r="B4" s="11">
        <f>VLOOKUP(A4,'Project Status'!C:D,2,FALSE)</f>
        <v>0</v>
      </c>
      <c r="C4" s="11">
        <f>VLOOKUP(A4,'Project Status'!C:E,3,FALSE)</f>
        <v>0</v>
      </c>
      <c r="D4" s="11" t="str">
        <f>VLOOKUP(A4,'Project Status'!C:F,4,FALSE)</f>
        <v>17100 - Law: Business Affairs</v>
      </c>
      <c r="E4" s="11" t="str">
        <f>VLOOKUP(A4,'Project Status'!C:I,7,FALSE)</f>
        <v>Law School - Roof Ladders</v>
      </c>
      <c r="F4" s="11" t="str">
        <f>VLOOKUP(A4,'Project Status'!C:K,9,FALSE)</f>
        <v>Warranty or Construction Closeout</v>
      </c>
      <c r="G4" s="11" t="str">
        <f>VLOOKUP(A4,'Project Status'!C:L,10,FALSE)</f>
        <v>Ben Bedock</v>
      </c>
      <c r="H4" s="88">
        <f>VLOOKUP(A4,'Project Status'!C:N,12,FALSE)</f>
        <v>36108.160000000003</v>
      </c>
      <c r="I4" s="172">
        <f>VLOOKUP(A4,'Project Status'!C:Q,15,FALSE)</f>
        <v>0</v>
      </c>
    </row>
    <row r="8" spans="1:11" x14ac:dyDescent="0.4">
      <c r="E8" s="40" t="s">
        <v>123</v>
      </c>
    </row>
    <row r="9" spans="1:11" x14ac:dyDescent="0.4">
      <c r="E9" t="s">
        <v>473</v>
      </c>
      <c r="F9" t="s">
        <v>138</v>
      </c>
      <c r="H9" s="41">
        <v>36108.160000000003</v>
      </c>
    </row>
    <row r="10" spans="1:11" x14ac:dyDescent="0.4">
      <c r="E10" s="21"/>
      <c r="H10" s="41"/>
    </row>
    <row r="12" spans="1:11" x14ac:dyDescent="0.4">
      <c r="F12" s="10"/>
      <c r="G12" s="10"/>
      <c r="H12" s="44"/>
    </row>
    <row r="18" spans="5:8" x14ac:dyDescent="0.4">
      <c r="E18" s="135" t="s">
        <v>260</v>
      </c>
      <c r="F18" s="136"/>
      <c r="G18" s="135"/>
      <c r="H18" s="137">
        <f>SUM(H9:H17)</f>
        <v>36108.160000000003</v>
      </c>
    </row>
    <row r="20" spans="5:8" x14ac:dyDescent="0.4">
      <c r="E20" s="138" t="s">
        <v>135</v>
      </c>
      <c r="F20" s="138"/>
      <c r="G20" s="138"/>
      <c r="H20" s="139">
        <f>H4-H18</f>
        <v>0</v>
      </c>
    </row>
  </sheetData>
  <hyperlinks>
    <hyperlink ref="K1" location="'Project Status'!A1" display="'Project Status'!A1" xr:uid="{516EBCA6-C293-45F8-B88C-8CFEF10EB76B}"/>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11ED-CAE3-4638-8009-345CC5098470}">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34.84375" bestFit="1" customWidth="1"/>
    <col min="6" max="6" width="6.53515625" bestFit="1" customWidth="1"/>
    <col min="7" max="7" width="11.3046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21066</v>
      </c>
      <c r="B4" s="11">
        <f>VLOOKUP(A4,'Project Status'!C:D,2,FALSE)</f>
        <v>0</v>
      </c>
      <c r="C4" s="11" t="str">
        <f>VLOOKUP(A4,'Project Status'!C:E,3,FALSE)</f>
        <v>CP_400314</v>
      </c>
      <c r="D4" s="11" t="str">
        <f>VLOOKUP(A4,'Project Status'!C:F,4,FALSE)</f>
        <v>12100 - Arts and Science: Business Affairs</v>
      </c>
      <c r="E4" s="11" t="str">
        <f>VLOOKUP(A4,'Project Status'!C:I,7,FALSE)</f>
        <v>SC2 - MEP Feasibility Study</v>
      </c>
      <c r="F4" s="11" t="str">
        <f>VLOOKUP(A4,'Project Status'!C:K,9,FALSE)</f>
        <v>Programming or Planning</v>
      </c>
      <c r="G4" s="11" t="str">
        <f>VLOOKUP(A4,'Project Status'!C:L,10,FALSE)</f>
        <v>Sean Rewers</v>
      </c>
      <c r="H4" s="88">
        <f>VLOOKUP(A4,'Project Status'!C:N,12,FALSE)</f>
        <v>29160</v>
      </c>
      <c r="I4" s="172">
        <f>VLOOKUP(A4,'Project Status'!C:Q,15,FALSE)</f>
        <v>24786</v>
      </c>
    </row>
    <row r="8" spans="1:11" x14ac:dyDescent="0.4">
      <c r="E8" s="40" t="s">
        <v>123</v>
      </c>
    </row>
    <row r="9" spans="1:11" x14ac:dyDescent="0.4">
      <c r="E9" s="21" t="s">
        <v>465</v>
      </c>
      <c r="F9" t="s">
        <v>138</v>
      </c>
      <c r="H9" s="41">
        <v>29160</v>
      </c>
    </row>
    <row r="12" spans="1:11" x14ac:dyDescent="0.4">
      <c r="F12" s="10"/>
      <c r="G12" s="10"/>
      <c r="H12" s="44"/>
    </row>
    <row r="18" spans="5:8" x14ac:dyDescent="0.4">
      <c r="E18" s="135" t="s">
        <v>260</v>
      </c>
      <c r="F18" s="136"/>
      <c r="G18" s="135"/>
      <c r="H18" s="137">
        <f>SUM(H9:H17)</f>
        <v>29160</v>
      </c>
    </row>
    <row r="20" spans="5:8" x14ac:dyDescent="0.4">
      <c r="E20" s="138" t="s">
        <v>135</v>
      </c>
      <c r="F20" s="138"/>
      <c r="G20" s="138"/>
      <c r="H20" s="139">
        <f>H4-H18</f>
        <v>0</v>
      </c>
    </row>
  </sheetData>
  <hyperlinks>
    <hyperlink ref="K1" location="'Project Status'!A1" display="'Project Status'!A1" xr:uid="{E5DF42AB-DD06-4A05-A057-D4B39533A438}"/>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74B8-6F9B-45D8-97EB-9703684904F1}">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34.84375" bestFit="1" customWidth="1"/>
    <col min="6" max="6" width="6.53515625" bestFit="1" customWidth="1"/>
    <col min="7" max="7" width="11.3046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21067</v>
      </c>
      <c r="B4" s="11">
        <f>VLOOKUP(A4,'Project Status'!C:D,2,FALSE)</f>
        <v>0</v>
      </c>
      <c r="C4" s="11" t="str">
        <f>VLOOKUP(A4,'Project Status'!C:E,3,FALSE)</f>
        <v>CP_400311</v>
      </c>
      <c r="D4" s="11" t="str">
        <f>VLOOKUP(A4,'Project Status'!C:F,4,FALSE)</f>
        <v>19000 - Nursing: Office of the Dean</v>
      </c>
      <c r="E4" s="11" t="str">
        <f>VLOOKUP(A4,'Project Status'!C:I,7,FALSE)</f>
        <v>Godchaux Hall - Phase 2 HVAC Upgrades and Roof Replacement</v>
      </c>
      <c r="F4" s="11" t="str">
        <f>VLOOKUP(A4,'Project Status'!C:K,9,FALSE)</f>
        <v>Design</v>
      </c>
      <c r="G4" s="11" t="str">
        <f>VLOOKUP(A4,'Project Status'!C:L,10,FALSE)</f>
        <v>Sean Rewers</v>
      </c>
      <c r="H4" s="88">
        <f>VLOOKUP(A4,'Project Status'!C:N,12,FALSE)</f>
        <v>46600</v>
      </c>
      <c r="I4" s="172">
        <f>VLOOKUP(A4,'Project Status'!C:Q,15,FALSE)</f>
        <v>1300</v>
      </c>
    </row>
    <row r="8" spans="1:11" x14ac:dyDescent="0.4">
      <c r="E8" s="40" t="s">
        <v>123</v>
      </c>
    </row>
    <row r="9" spans="1:11" x14ac:dyDescent="0.4">
      <c r="E9" s="21" t="s">
        <v>465</v>
      </c>
      <c r="F9" t="s">
        <v>138</v>
      </c>
      <c r="H9" s="41">
        <v>33600</v>
      </c>
    </row>
    <row r="10" spans="1:11" x14ac:dyDescent="0.4">
      <c r="E10" s="21" t="s">
        <v>465</v>
      </c>
      <c r="F10" t="s">
        <v>211</v>
      </c>
      <c r="H10" s="41">
        <v>13000</v>
      </c>
    </row>
    <row r="12" spans="1:11" x14ac:dyDescent="0.4">
      <c r="F12" s="10"/>
      <c r="G12" s="10"/>
      <c r="H12" s="44"/>
    </row>
    <row r="18" spans="5:8" x14ac:dyDescent="0.4">
      <c r="E18" s="135" t="s">
        <v>260</v>
      </c>
      <c r="F18" s="136"/>
      <c r="G18" s="135"/>
      <c r="H18" s="137">
        <f>SUM(H9:H17)</f>
        <v>46600</v>
      </c>
    </row>
    <row r="20" spans="5:8" x14ac:dyDescent="0.4">
      <c r="E20" s="138" t="s">
        <v>135</v>
      </c>
      <c r="F20" s="138"/>
      <c r="G20" s="138"/>
      <c r="H20" s="139">
        <f>H4-H18</f>
        <v>0</v>
      </c>
    </row>
  </sheetData>
  <hyperlinks>
    <hyperlink ref="K1" location="'Project Status'!A1" display="'Project Status'!A1" xr:uid="{3BF4C976-BA8B-4F53-B29A-9B27AEA8400B}"/>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95E6-B7B4-4322-8089-1FF46645A3B2}">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21068</v>
      </c>
      <c r="B4" s="11">
        <f>VLOOKUP(A4,'Project Status'!C:D,2,FALSE)</f>
        <v>0</v>
      </c>
      <c r="C4" s="11">
        <f>VLOOKUP(A4,'Project Status'!C:E,3,FALSE)</f>
        <v>0</v>
      </c>
      <c r="D4" s="11" t="str">
        <f>VLOOKUP(A4,'Project Status'!C:F,4,FALSE)</f>
        <v>12000 - Arts and Science: Office of the Dean</v>
      </c>
      <c r="E4" s="11" t="str">
        <f>VLOOKUP(A4,'Project Status'!C:I,7,FALSE)</f>
        <v>Buttrick Hall - Insulate First Floor Slab</v>
      </c>
      <c r="F4" s="11" t="str">
        <f>VLOOKUP(A4,'Project Status'!C:K,9,FALSE)</f>
        <v>Construction Closeout</v>
      </c>
      <c r="G4" s="11" t="str">
        <f>VLOOKUP(A4,'Project Status'!C:L,10,FALSE)</f>
        <v>Jay Surprenant</v>
      </c>
      <c r="H4" s="88">
        <f>VLOOKUP(A4,'Project Status'!C:N,12,FALSE)</f>
        <v>34837.4</v>
      </c>
      <c r="I4" s="172">
        <f>VLOOKUP(A4,'Project Status'!C:Q,15,FALSE)</f>
        <v>24737.4</v>
      </c>
    </row>
    <row r="8" spans="1:11" x14ac:dyDescent="0.4">
      <c r="E8" s="40" t="s">
        <v>123</v>
      </c>
    </row>
    <row r="9" spans="1:11" x14ac:dyDescent="0.4">
      <c r="E9" s="21" t="s">
        <v>465</v>
      </c>
      <c r="F9" t="s">
        <v>138</v>
      </c>
      <c r="H9" s="41">
        <v>34837.4</v>
      </c>
    </row>
    <row r="12" spans="1:11" x14ac:dyDescent="0.4">
      <c r="F12" s="10"/>
      <c r="G12" s="10"/>
      <c r="H12" s="44"/>
    </row>
    <row r="18" spans="5:8" x14ac:dyDescent="0.4">
      <c r="E18" s="135" t="s">
        <v>260</v>
      </c>
      <c r="F18" s="136"/>
      <c r="G18" s="135"/>
      <c r="H18" s="137">
        <f>SUM(H9:H17)</f>
        <v>34837.4</v>
      </c>
    </row>
    <row r="20" spans="5:8" x14ac:dyDescent="0.4">
      <c r="E20" s="138" t="s">
        <v>135</v>
      </c>
      <c r="F20" s="138"/>
      <c r="G20" s="138"/>
      <c r="H20" s="139">
        <f>H4-H18</f>
        <v>0</v>
      </c>
    </row>
  </sheetData>
  <hyperlinks>
    <hyperlink ref="K1" location="'Project Status'!A1" display="'Project Status'!A1" xr:uid="{1A7B922E-2AA3-4C1D-83F3-591EBBECBECC}"/>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C676-49ED-4E53-AD35-1110DB99DE00}">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21070</v>
      </c>
      <c r="B4" s="11">
        <f>VLOOKUP(A4,'Project Status'!C:D,2,FALSE)</f>
        <v>8733</v>
      </c>
      <c r="C4" s="11">
        <f>VLOOKUP(A4,'Project Status'!C:E,3,FALSE)</f>
        <v>0</v>
      </c>
      <c r="D4" s="11" t="str">
        <f>VLOOKUP(A4,'Project Status'!C:F,4,FALSE)</f>
        <v>15000 - Engineering: Office of the Dean</v>
      </c>
      <c r="E4" s="11" t="str">
        <f>VLOOKUP(A4,'Project Status'!C:I,7,FALSE)</f>
        <v>Olin Hall - Exterior Facade Cleaning</v>
      </c>
      <c r="F4" s="11" t="str">
        <f>VLOOKUP(A4,'Project Status'!C:K,9,FALSE)</f>
        <v>Warranty or Construction Closeout</v>
      </c>
      <c r="G4" s="11" t="str">
        <f>VLOOKUP(A4,'Project Status'!C:L,10,FALSE)</f>
        <v>Ben Bedock</v>
      </c>
      <c r="H4" s="88">
        <f>VLOOKUP(A4,'Project Status'!C:N,12,FALSE)</f>
        <v>392042.1</v>
      </c>
      <c r="I4" s="172">
        <f>VLOOKUP(A4,'Project Status'!C:Q,15,FALSE)</f>
        <v>308101</v>
      </c>
    </row>
    <row r="8" spans="1:11" x14ac:dyDescent="0.4">
      <c r="E8" s="40" t="s">
        <v>123</v>
      </c>
    </row>
    <row r="9" spans="1:11" x14ac:dyDescent="0.4">
      <c r="E9" s="21" t="s">
        <v>468</v>
      </c>
      <c r="F9" t="s">
        <v>138</v>
      </c>
      <c r="H9" s="41">
        <v>392042.1</v>
      </c>
    </row>
    <row r="12" spans="1:11" x14ac:dyDescent="0.4">
      <c r="F12" s="10"/>
      <c r="G12" s="10"/>
      <c r="H12" s="44"/>
    </row>
    <row r="18" spans="5:8" x14ac:dyDescent="0.4">
      <c r="E18" s="135" t="s">
        <v>260</v>
      </c>
      <c r="F18" s="136"/>
      <c r="G18" s="135"/>
      <c r="H18" s="137">
        <f>SUM(H9:H17)</f>
        <v>392042.1</v>
      </c>
    </row>
    <row r="20" spans="5:8" x14ac:dyDescent="0.4">
      <c r="E20" s="138" t="s">
        <v>135</v>
      </c>
      <c r="F20" s="138"/>
      <c r="G20" s="138"/>
      <c r="H20" s="139">
        <f>H4-H18</f>
        <v>0</v>
      </c>
    </row>
  </sheetData>
  <hyperlinks>
    <hyperlink ref="K1" location="'Project Status'!A1" display="'Project Status'!A1" xr:uid="{A1341063-FEAD-4CA2-870F-F3AAA50F72E9}"/>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7EDD1-8732-45EC-873C-E939AA7758FF}">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8.84375" bestFit="1" customWidth="1"/>
    <col min="5" max="5" width="34.84375" bestFit="1" customWidth="1"/>
    <col min="6" max="6" width="23.3046875" bestFit="1" customWidth="1"/>
    <col min="7" max="7" width="11.5351562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21071</v>
      </c>
      <c r="B4" s="11">
        <f>VLOOKUP(A4,'Project Status'!C:D,2,FALSE)</f>
        <v>0</v>
      </c>
      <c r="C4" s="11" t="str">
        <f>VLOOKUP(A4,'Project Status'!C:E,3,FALSE)</f>
        <v>CP_400313</v>
      </c>
      <c r="D4" s="11" t="s">
        <v>10</v>
      </c>
      <c r="E4" s="11" t="str">
        <f>VLOOKUP(A4,'Project Status'!C:I,7,FALSE)</f>
        <v>SC1 - MEP Feasibility Study</v>
      </c>
      <c r="F4" s="11" t="str">
        <f>VLOOKUP(A4,'Project Status'!C:K,9,FALSE)</f>
        <v>Programming or Planning</v>
      </c>
      <c r="G4" s="11" t="str">
        <f>VLOOKUP(A4,'Project Status'!C:L,10,FALSE)</f>
        <v>Sean Rewers</v>
      </c>
      <c r="H4" s="88">
        <f>VLOOKUP(A4,'Project Status'!C:N,12,FALSE)</f>
        <v>19440</v>
      </c>
      <c r="I4" s="172">
        <f>VLOOKUP(A4,'Project Status'!C:Q,15,FALSE)</f>
        <v>16524</v>
      </c>
    </row>
    <row r="8" spans="1:11" x14ac:dyDescent="0.4">
      <c r="E8" s="40" t="s">
        <v>123</v>
      </c>
    </row>
    <row r="9" spans="1:11" x14ac:dyDescent="0.4">
      <c r="E9" s="21" t="s">
        <v>465</v>
      </c>
      <c r="F9" t="s">
        <v>138</v>
      </c>
      <c r="H9" s="41">
        <v>19440</v>
      </c>
    </row>
    <row r="12" spans="1:11" x14ac:dyDescent="0.4">
      <c r="F12" s="10"/>
      <c r="G12" s="10"/>
      <c r="H12" s="44"/>
    </row>
    <row r="18" spans="5:8" x14ac:dyDescent="0.4">
      <c r="E18" s="135" t="s">
        <v>260</v>
      </c>
      <c r="F18" s="136"/>
      <c r="G18" s="135"/>
      <c r="H18" s="137">
        <f>SUM(H9:H17)</f>
        <v>19440</v>
      </c>
    </row>
    <row r="20" spans="5:8" x14ac:dyDescent="0.4">
      <c r="E20" s="138" t="s">
        <v>135</v>
      </c>
      <c r="F20" s="138"/>
      <c r="G20" s="138"/>
      <c r="H20" s="139">
        <f>H4-H18</f>
        <v>0</v>
      </c>
    </row>
  </sheetData>
  <hyperlinks>
    <hyperlink ref="K1" location="'Project Status'!A1" display="'Project Status'!A1" xr:uid="{893985EE-E199-4FF3-8598-E557AE11CD2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Z109"/>
  <sheetViews>
    <sheetView tabSelected="1" zoomScale="90" zoomScaleNormal="90" workbookViewId="0">
      <pane ySplit="3" topLeftCell="A67" activePane="bottomLeft" state="frozen"/>
      <selection activeCell="D92" sqref="D92"/>
      <selection pane="bottomLeft" activeCell="H78" sqref="H78"/>
    </sheetView>
  </sheetViews>
  <sheetFormatPr defaultColWidth="9.07421875" defaultRowHeight="14.6" outlineLevelRow="1" outlineLevelCol="1" x14ac:dyDescent="0.4"/>
  <cols>
    <col min="1" max="1" width="4.53515625" style="76" customWidth="1"/>
    <col min="2" max="2" width="11.69140625" style="76" hidden="1" customWidth="1" outlineLevel="1"/>
    <col min="3" max="3" width="8.53515625" style="76" customWidth="1" collapsed="1"/>
    <col min="4" max="4" width="6.69140625" style="76" hidden="1" customWidth="1" outlineLevel="1"/>
    <col min="5" max="5" width="10.3046875" style="76" hidden="1" customWidth="1" outlineLevel="1"/>
    <col min="6" max="6" width="39.3046875" style="76" hidden="1" customWidth="1" outlineLevel="1"/>
    <col min="7" max="7" width="17.3046875" style="76" hidden="1" customWidth="1" outlineLevel="1"/>
    <col min="8" max="8" width="28" style="76" hidden="1" customWidth="1" outlineLevel="1"/>
    <col min="9" max="9" width="62.84375" style="76" bestFit="1" customWidth="1" collapsed="1"/>
    <col min="10" max="10" width="17.07421875" style="76" hidden="1" customWidth="1" outlineLevel="1"/>
    <col min="11" max="11" width="32.07421875" style="76" bestFit="1" customWidth="1" collapsed="1"/>
    <col min="12" max="12" width="16.69140625" style="76" bestFit="1" customWidth="1"/>
    <col min="13" max="13" width="15" style="99" customWidth="1"/>
    <col min="14" max="17" width="15" style="99" hidden="1" customWidth="1" outlineLevel="1"/>
    <col min="18" max="18" width="15" style="99" customWidth="1" collapsed="1"/>
    <col min="19" max="24" width="15" style="99" customWidth="1"/>
    <col min="25" max="25" width="116.53515625" style="76" customWidth="1"/>
    <col min="26" max="26" width="9.07421875" style="207"/>
    <col min="27" max="16384" width="9.07421875" style="76"/>
  </cols>
  <sheetData>
    <row r="1" spans="1:26" x14ac:dyDescent="0.4">
      <c r="A1" s="74" t="s">
        <v>190</v>
      </c>
      <c r="S1" s="141" t="s">
        <v>265</v>
      </c>
      <c r="T1" s="174" t="s">
        <v>302</v>
      </c>
      <c r="U1" s="174" t="s">
        <v>398</v>
      </c>
      <c r="V1" s="174" t="s">
        <v>598</v>
      </c>
    </row>
    <row r="2" spans="1:26" x14ac:dyDescent="0.4">
      <c r="A2" s="77"/>
      <c r="E2" s="78"/>
      <c r="F2" s="79"/>
      <c r="G2" s="79"/>
    </row>
    <row r="3" spans="1:26" s="75" customFormat="1" ht="29.15" x14ac:dyDescent="0.4">
      <c r="A3" s="9"/>
      <c r="B3" s="9" t="s">
        <v>226</v>
      </c>
      <c r="C3" s="9" t="s">
        <v>124</v>
      </c>
      <c r="D3" s="9" t="s">
        <v>125</v>
      </c>
      <c r="E3" s="9" t="s">
        <v>126</v>
      </c>
      <c r="F3" s="80" t="s">
        <v>86</v>
      </c>
      <c r="G3" s="80" t="s">
        <v>201</v>
      </c>
      <c r="H3" s="80" t="s">
        <v>113</v>
      </c>
      <c r="I3" s="80" t="s">
        <v>87</v>
      </c>
      <c r="J3" s="80" t="s">
        <v>457</v>
      </c>
      <c r="K3" s="9" t="s">
        <v>127</v>
      </c>
      <c r="L3" s="9" t="s">
        <v>128</v>
      </c>
      <c r="M3" s="100" t="s">
        <v>132</v>
      </c>
      <c r="N3" s="101" t="s">
        <v>129</v>
      </c>
      <c r="O3" s="101" t="s">
        <v>130</v>
      </c>
      <c r="P3" s="101" t="s">
        <v>131</v>
      </c>
      <c r="Q3" s="101" t="s">
        <v>220</v>
      </c>
      <c r="R3" s="255" t="s">
        <v>356</v>
      </c>
      <c r="S3" s="102" t="s">
        <v>238</v>
      </c>
      <c r="T3" s="110" t="s">
        <v>297</v>
      </c>
      <c r="U3" s="142" t="s">
        <v>397</v>
      </c>
      <c r="V3" s="186" t="s">
        <v>585</v>
      </c>
      <c r="W3" s="186" t="s">
        <v>323</v>
      </c>
      <c r="X3" s="186" t="s">
        <v>586</v>
      </c>
      <c r="Y3" s="9" t="s">
        <v>181</v>
      </c>
      <c r="Z3" s="185" t="s">
        <v>322</v>
      </c>
    </row>
    <row r="4" spans="1:26" s="200" customFormat="1" hidden="1" outlineLevel="1" x14ac:dyDescent="0.4">
      <c r="A4" s="189">
        <v>1</v>
      </c>
      <c r="B4" s="267" t="s">
        <v>90</v>
      </c>
      <c r="C4" s="191">
        <v>10085</v>
      </c>
      <c r="D4" s="190">
        <v>4591</v>
      </c>
      <c r="E4" s="190"/>
      <c r="F4" s="190" t="s">
        <v>28</v>
      </c>
      <c r="G4" s="192" t="str">
        <f>VLOOKUP(F4,lookup!B:C,2,FALSE)</f>
        <v>Peabody</v>
      </c>
      <c r="H4" s="190" t="s">
        <v>326</v>
      </c>
      <c r="I4" s="190" t="s">
        <v>108</v>
      </c>
      <c r="J4" s="190" t="s">
        <v>458</v>
      </c>
      <c r="K4" s="190" t="s">
        <v>305</v>
      </c>
      <c r="L4" s="190" t="s">
        <v>155</v>
      </c>
      <c r="M4" s="193">
        <v>17500</v>
      </c>
      <c r="N4" s="194">
        <v>22000</v>
      </c>
      <c r="O4" s="194">
        <v>17500</v>
      </c>
      <c r="P4" s="194">
        <v>17500</v>
      </c>
      <c r="Q4" s="194">
        <v>17500</v>
      </c>
      <c r="R4" s="193">
        <v>0</v>
      </c>
      <c r="S4" s="195">
        <f>'10085'!H18</f>
        <v>17500</v>
      </c>
      <c r="T4" s="196">
        <v>0</v>
      </c>
      <c r="U4" s="197">
        <v>0</v>
      </c>
      <c r="V4" s="198">
        <v>0</v>
      </c>
      <c r="W4" s="187">
        <v>0</v>
      </c>
      <c r="X4" s="277">
        <f>IF(W4="TBD","TBD",V4+W4)</f>
        <v>0</v>
      </c>
      <c r="Y4" s="199" t="s">
        <v>259</v>
      </c>
      <c r="Z4" s="207">
        <f>VLOOKUP(C4,'Summary_by FY'!$C$1:$C$996,1,FALSE)</f>
        <v>10085</v>
      </c>
    </row>
    <row r="5" spans="1:26" s="200" customFormat="1" hidden="1" outlineLevel="1" x14ac:dyDescent="0.4">
      <c r="A5" s="189">
        <f>A4+1</f>
        <v>2</v>
      </c>
      <c r="B5" s="267" t="s">
        <v>89</v>
      </c>
      <c r="C5" s="191">
        <v>10098</v>
      </c>
      <c r="D5" s="190">
        <v>1627</v>
      </c>
      <c r="E5" s="190" t="s">
        <v>109</v>
      </c>
      <c r="F5" s="190" t="s">
        <v>21</v>
      </c>
      <c r="G5" s="192" t="str">
        <f>VLOOKUP(F5,lookup!B:C,2,FALSE)</f>
        <v>SOM Basic Sciences</v>
      </c>
      <c r="H5" s="190" t="s">
        <v>146</v>
      </c>
      <c r="I5" s="190" t="s">
        <v>285</v>
      </c>
      <c r="J5" s="190" t="s">
        <v>458</v>
      </c>
      <c r="K5" s="190" t="s">
        <v>305</v>
      </c>
      <c r="L5" s="190" t="s">
        <v>150</v>
      </c>
      <c r="M5" s="193">
        <v>1216485.5</v>
      </c>
      <c r="N5" s="194">
        <v>1216485.5</v>
      </c>
      <c r="O5" s="194">
        <v>1212084.54</v>
      </c>
      <c r="P5" s="194">
        <v>1212084.54</v>
      </c>
      <c r="Q5" s="194">
        <v>1212084.54</v>
      </c>
      <c r="R5" s="193">
        <v>0</v>
      </c>
      <c r="S5" s="195">
        <f>'10098'!H9</f>
        <v>1216485.5</v>
      </c>
      <c r="T5" s="196">
        <f>'10098'!H10</f>
        <v>-4400.96</v>
      </c>
      <c r="U5" s="197">
        <v>0</v>
      </c>
      <c r="V5" s="198">
        <v>0</v>
      </c>
      <c r="W5" s="187">
        <v>0</v>
      </c>
      <c r="X5" s="277">
        <f t="shared" ref="X5:X68" si="0">IF(W5="TBD","TBD",V5+W5)</f>
        <v>0</v>
      </c>
      <c r="Y5" s="199" t="s">
        <v>314</v>
      </c>
      <c r="Z5" s="207">
        <f>VLOOKUP(C5,'Summary_by FY'!$C$1:$C$996,1,FALSE)</f>
        <v>10098</v>
      </c>
    </row>
    <row r="6" spans="1:26" s="89" customFormat="1" collapsed="1" x14ac:dyDescent="0.4">
      <c r="A6" s="92">
        <f t="shared" ref="A6:A69" si="1">A5+1</f>
        <v>3</v>
      </c>
      <c r="B6" s="266" t="s">
        <v>89</v>
      </c>
      <c r="C6" s="175">
        <v>10146</v>
      </c>
      <c r="D6" s="90">
        <v>8206</v>
      </c>
      <c r="E6" s="90" t="s">
        <v>174</v>
      </c>
      <c r="F6" s="90" t="s">
        <v>175</v>
      </c>
      <c r="G6" s="91" t="str">
        <f>VLOOKUP(F6,lookup!B:C,2,FALSE)</f>
        <v>Nursing</v>
      </c>
      <c r="H6" s="90" t="s">
        <v>329</v>
      </c>
      <c r="I6" s="90" t="s">
        <v>410</v>
      </c>
      <c r="J6" s="90" t="s">
        <v>447</v>
      </c>
      <c r="K6" s="90" t="s">
        <v>258</v>
      </c>
      <c r="L6" s="90" t="s">
        <v>155</v>
      </c>
      <c r="M6" s="103">
        <v>318000</v>
      </c>
      <c r="N6" s="104">
        <v>318057</v>
      </c>
      <c r="O6" s="104">
        <v>253826.81</v>
      </c>
      <c r="P6" s="104">
        <v>253826.81</v>
      </c>
      <c r="Q6" s="104">
        <v>253826.81</v>
      </c>
      <c r="R6" s="252">
        <v>64230.19</v>
      </c>
      <c r="S6" s="105">
        <f>'10146'!H9</f>
        <v>4900</v>
      </c>
      <c r="T6" s="111">
        <f>'10146'!H15</f>
        <v>255957</v>
      </c>
      <c r="U6" s="143">
        <v>0</v>
      </c>
      <c r="V6" s="187">
        <v>0</v>
      </c>
      <c r="W6" s="187">
        <v>0</v>
      </c>
      <c r="X6" s="277">
        <f t="shared" si="0"/>
        <v>0</v>
      </c>
      <c r="Y6" t="s">
        <v>426</v>
      </c>
      <c r="Z6" s="207">
        <f>VLOOKUP(C6,'Summary_by FY'!$C$1:$C$996,1,FALSE)</f>
        <v>10146</v>
      </c>
    </row>
    <row r="7" spans="1:26" s="200" customFormat="1" hidden="1" outlineLevel="1" x14ac:dyDescent="0.4">
      <c r="A7" s="189">
        <f t="shared" si="1"/>
        <v>4</v>
      </c>
      <c r="B7" s="267" t="s">
        <v>89</v>
      </c>
      <c r="C7" s="191">
        <v>20179</v>
      </c>
      <c r="D7" s="190">
        <v>36015</v>
      </c>
      <c r="E7" s="190" t="s">
        <v>104</v>
      </c>
      <c r="F7" s="190" t="s">
        <v>153</v>
      </c>
      <c r="G7" s="192" t="str">
        <f>VLOOKUP(F7,lookup!B:C,2,FALSE)</f>
        <v>Law</v>
      </c>
      <c r="H7" s="190" t="s">
        <v>268</v>
      </c>
      <c r="I7" s="190" t="s">
        <v>267</v>
      </c>
      <c r="J7" s="190" t="s">
        <v>458</v>
      </c>
      <c r="K7" s="190" t="s">
        <v>305</v>
      </c>
      <c r="L7" s="190" t="s">
        <v>154</v>
      </c>
      <c r="M7" s="193">
        <v>1445389</v>
      </c>
      <c r="N7" s="194">
        <v>1445389</v>
      </c>
      <c r="O7" s="194">
        <v>1352423.14</v>
      </c>
      <c r="P7" s="194">
        <v>1352423.14</v>
      </c>
      <c r="Q7" s="194">
        <v>1352423.14</v>
      </c>
      <c r="R7" s="253"/>
      <c r="S7" s="195">
        <f>'20179'!H9</f>
        <v>722694.5</v>
      </c>
      <c r="T7" s="196">
        <v>0</v>
      </c>
      <c r="U7" s="197">
        <f>'20179'!H11</f>
        <v>-92965.86</v>
      </c>
      <c r="V7" s="198">
        <v>0</v>
      </c>
      <c r="W7" s="187">
        <v>0</v>
      </c>
      <c r="X7" s="277">
        <f t="shared" si="0"/>
        <v>0</v>
      </c>
      <c r="Y7" s="199" t="s">
        <v>420</v>
      </c>
      <c r="Z7" s="251">
        <f>VLOOKUP(C7,'Summary_by FY'!$C$1:$C$996,1,FALSE)</f>
        <v>20179</v>
      </c>
    </row>
    <row r="8" spans="1:26" s="200" customFormat="1" hidden="1" outlineLevel="1" x14ac:dyDescent="0.4">
      <c r="A8" s="189">
        <f t="shared" si="1"/>
        <v>5</v>
      </c>
      <c r="B8" s="267" t="s">
        <v>89</v>
      </c>
      <c r="C8" s="191">
        <v>20336</v>
      </c>
      <c r="D8" s="190">
        <v>20075</v>
      </c>
      <c r="E8" s="190" t="s">
        <v>102</v>
      </c>
      <c r="F8" s="190" t="s">
        <v>12</v>
      </c>
      <c r="G8" s="192" t="str">
        <f>VLOOKUP(F8,lookup!B:C,2,FALSE)</f>
        <v>Blair</v>
      </c>
      <c r="H8" s="190" t="s">
        <v>149</v>
      </c>
      <c r="I8" s="190" t="s">
        <v>185</v>
      </c>
      <c r="J8" s="190" t="s">
        <v>458</v>
      </c>
      <c r="K8" s="190" t="s">
        <v>305</v>
      </c>
      <c r="L8" s="190" t="s">
        <v>148</v>
      </c>
      <c r="M8" s="193">
        <v>327890</v>
      </c>
      <c r="N8" s="194">
        <v>327890</v>
      </c>
      <c r="O8" s="194">
        <v>280600</v>
      </c>
      <c r="P8" s="194">
        <v>280600</v>
      </c>
      <c r="Q8" s="194">
        <v>280600</v>
      </c>
      <c r="R8" s="253"/>
      <c r="S8" s="195">
        <f>'20336'!H9+'20336'!H10+'20336'!H11</f>
        <v>327890</v>
      </c>
      <c r="T8" s="196">
        <f>'20336'!H12</f>
        <v>-47290</v>
      </c>
      <c r="U8" s="143">
        <v>0</v>
      </c>
      <c r="V8" s="198">
        <v>0</v>
      </c>
      <c r="W8" s="187">
        <v>0</v>
      </c>
      <c r="X8" s="277">
        <f t="shared" si="0"/>
        <v>0</v>
      </c>
      <c r="Y8" s="199" t="s">
        <v>349</v>
      </c>
      <c r="Z8" s="207">
        <f>VLOOKUP(C8,'Summary_by FY'!$C$1:$C$996,1,FALSE)</f>
        <v>20336</v>
      </c>
    </row>
    <row r="9" spans="1:26" s="89" customFormat="1" collapsed="1" x14ac:dyDescent="0.4">
      <c r="A9" s="92">
        <f t="shared" si="1"/>
        <v>6</v>
      </c>
      <c r="B9" s="266" t="s">
        <v>89</v>
      </c>
      <c r="C9" s="175">
        <v>20431</v>
      </c>
      <c r="D9" s="90">
        <v>8084</v>
      </c>
      <c r="E9" s="90" t="s">
        <v>103</v>
      </c>
      <c r="F9" s="90" t="s">
        <v>14</v>
      </c>
      <c r="G9" s="91" t="str">
        <f>VLOOKUP(F9,lookup!B:C,2,FALSE)</f>
        <v>Divinity</v>
      </c>
      <c r="H9" s="90" t="s">
        <v>151</v>
      </c>
      <c r="I9" s="90" t="s">
        <v>330</v>
      </c>
      <c r="J9" s="90" t="s">
        <v>447</v>
      </c>
      <c r="K9" s="90" t="s">
        <v>286</v>
      </c>
      <c r="L9" s="90" t="s">
        <v>150</v>
      </c>
      <c r="M9" s="103">
        <v>3800000</v>
      </c>
      <c r="N9" s="104">
        <v>3800000</v>
      </c>
      <c r="O9" s="104">
        <v>3635005.72</v>
      </c>
      <c r="P9" s="104">
        <v>3635005.72</v>
      </c>
      <c r="Q9" s="104">
        <v>3542129.41</v>
      </c>
      <c r="R9" s="252">
        <v>191010.33</v>
      </c>
      <c r="S9" s="105">
        <f>'20431'!H10+'20431'!H11+'20431'!H13</f>
        <v>69862.5</v>
      </c>
      <c r="T9" s="111">
        <f>'20431'!H15</f>
        <v>3660360</v>
      </c>
      <c r="U9" s="143">
        <v>0</v>
      </c>
      <c r="V9" s="187">
        <v>0</v>
      </c>
      <c r="W9" s="187">
        <v>0</v>
      </c>
      <c r="X9" s="277">
        <f t="shared" si="0"/>
        <v>0</v>
      </c>
      <c r="Y9" t="s">
        <v>623</v>
      </c>
      <c r="Z9" s="207">
        <f>VLOOKUP(C9,'Summary_by FY'!$C$1:$C$996,1,FALSE)</f>
        <v>20431</v>
      </c>
    </row>
    <row r="10" spans="1:26" s="89" customFormat="1" x14ac:dyDescent="0.4">
      <c r="A10" s="92">
        <f t="shared" si="1"/>
        <v>7</v>
      </c>
      <c r="B10" s="266" t="s">
        <v>89</v>
      </c>
      <c r="C10" s="175">
        <v>20478</v>
      </c>
      <c r="D10" s="90">
        <v>8672</v>
      </c>
      <c r="E10" s="90" t="s">
        <v>229</v>
      </c>
      <c r="F10" s="90" t="s">
        <v>10</v>
      </c>
      <c r="G10" s="91" t="str">
        <f>VLOOKUP(F10,lookup!B:C,2,FALSE)</f>
        <v>Arts &amp; Science</v>
      </c>
      <c r="H10" s="90" t="s">
        <v>239</v>
      </c>
      <c r="I10" s="90" t="s">
        <v>230</v>
      </c>
      <c r="J10" s="90" t="s">
        <v>447</v>
      </c>
      <c r="K10" s="90" t="s">
        <v>286</v>
      </c>
      <c r="L10" s="90" t="s">
        <v>231</v>
      </c>
      <c r="M10" s="103">
        <v>2790000</v>
      </c>
      <c r="N10" s="104">
        <v>2790000</v>
      </c>
      <c r="O10" s="104">
        <v>2702930.48</v>
      </c>
      <c r="P10" s="104">
        <v>2702930.48</v>
      </c>
      <c r="Q10" s="104">
        <v>2652824.48</v>
      </c>
      <c r="R10" s="252">
        <v>0</v>
      </c>
      <c r="S10" s="105">
        <f>'20478'!H9+'20478'!H11</f>
        <v>81100</v>
      </c>
      <c r="T10" s="111">
        <f>'20478'!H13</f>
        <v>1028900</v>
      </c>
      <c r="U10" s="143">
        <v>0</v>
      </c>
      <c r="V10" s="187">
        <v>0</v>
      </c>
      <c r="W10" s="187">
        <v>0</v>
      </c>
      <c r="X10" s="277">
        <f t="shared" si="0"/>
        <v>0</v>
      </c>
      <c r="Y10" t="s">
        <v>624</v>
      </c>
      <c r="Z10" s="207">
        <f>VLOOKUP(C10,'Summary_by FY'!$C$1:$C$996,1,FALSE)</f>
        <v>20478</v>
      </c>
    </row>
    <row r="11" spans="1:26" s="89" customFormat="1" x14ac:dyDescent="0.4">
      <c r="A11" s="92">
        <f t="shared" si="1"/>
        <v>8</v>
      </c>
      <c r="B11" s="266" t="s">
        <v>89</v>
      </c>
      <c r="C11" s="175">
        <v>20489</v>
      </c>
      <c r="D11" s="90">
        <v>8051</v>
      </c>
      <c r="E11" s="90" t="s">
        <v>232</v>
      </c>
      <c r="F11" s="90" t="s">
        <v>14</v>
      </c>
      <c r="G11" s="91" t="str">
        <f>VLOOKUP(F11,lookup!B:C,2,FALSE)</f>
        <v>Divinity</v>
      </c>
      <c r="H11" s="90" t="s">
        <v>151</v>
      </c>
      <c r="I11" s="90" t="s">
        <v>381</v>
      </c>
      <c r="J11" s="90" t="s">
        <v>447</v>
      </c>
      <c r="K11" s="90" t="s">
        <v>101</v>
      </c>
      <c r="L11" s="90" t="s">
        <v>313</v>
      </c>
      <c r="M11" s="103">
        <v>3600000</v>
      </c>
      <c r="N11" s="104">
        <v>3600000</v>
      </c>
      <c r="O11" s="104">
        <v>319295</v>
      </c>
      <c r="P11" s="104">
        <v>3232229.36</v>
      </c>
      <c r="Q11" s="104">
        <v>19964.849999999999</v>
      </c>
      <c r="R11" s="252"/>
      <c r="S11" s="105">
        <f>'20489'!H9</f>
        <v>26500</v>
      </c>
      <c r="T11" s="111">
        <v>0</v>
      </c>
      <c r="U11" s="143">
        <f>'20489'!H10</f>
        <v>304500</v>
      </c>
      <c r="V11" s="187">
        <f>'20489'!H11</f>
        <v>2369000</v>
      </c>
      <c r="W11" s="187">
        <v>0</v>
      </c>
      <c r="X11" s="277">
        <f t="shared" si="0"/>
        <v>2369000</v>
      </c>
      <c r="Y11" s="90" t="s">
        <v>625</v>
      </c>
      <c r="Z11" s="207">
        <f>VLOOKUP(C11,'Summary_by FY'!$C$1:$C$996,1,FALSE)</f>
        <v>20489</v>
      </c>
    </row>
    <row r="12" spans="1:26" s="200" customFormat="1" hidden="1" outlineLevel="1" x14ac:dyDescent="0.4">
      <c r="A12" s="189">
        <f t="shared" si="1"/>
        <v>9</v>
      </c>
      <c r="B12" s="267" t="s">
        <v>89</v>
      </c>
      <c r="C12" s="191">
        <v>20497</v>
      </c>
      <c r="D12" s="190">
        <v>529</v>
      </c>
      <c r="E12" s="190" t="s">
        <v>106</v>
      </c>
      <c r="F12" s="190" t="s">
        <v>28</v>
      </c>
      <c r="G12" s="192" t="str">
        <f>VLOOKUP(F12,lookup!B:C,2,FALSE)</f>
        <v>Peabody</v>
      </c>
      <c r="H12" s="190" t="s">
        <v>152</v>
      </c>
      <c r="I12" s="190" t="s">
        <v>105</v>
      </c>
      <c r="J12" s="190" t="s">
        <v>458</v>
      </c>
      <c r="K12" s="190" t="s">
        <v>305</v>
      </c>
      <c r="L12" s="190" t="s">
        <v>148</v>
      </c>
      <c r="M12" s="193">
        <v>456850</v>
      </c>
      <c r="N12" s="194">
        <v>456850</v>
      </c>
      <c r="O12" s="194">
        <v>412000</v>
      </c>
      <c r="P12" s="194">
        <v>412000</v>
      </c>
      <c r="Q12" s="194">
        <v>412000</v>
      </c>
      <c r="R12" s="253"/>
      <c r="S12" s="195">
        <f>'20497'!H9</f>
        <v>79415.5</v>
      </c>
      <c r="T12" s="196">
        <f>'20497'!H11</f>
        <v>-44850</v>
      </c>
      <c r="U12" s="143">
        <v>0</v>
      </c>
      <c r="V12" s="198">
        <v>0</v>
      </c>
      <c r="W12" s="198">
        <v>0</v>
      </c>
      <c r="X12" s="277">
        <f t="shared" si="0"/>
        <v>0</v>
      </c>
      <c r="Y12" s="90" t="s">
        <v>320</v>
      </c>
      <c r="Z12" s="207">
        <f>VLOOKUP(C12,'Summary_by FY'!$C$1:$C$996,1,FALSE)</f>
        <v>20497</v>
      </c>
    </row>
    <row r="13" spans="1:26" s="200" customFormat="1" hidden="1" outlineLevel="1" x14ac:dyDescent="0.4">
      <c r="A13" s="189">
        <f t="shared" si="1"/>
        <v>10</v>
      </c>
      <c r="B13" s="267" t="s">
        <v>89</v>
      </c>
      <c r="C13" s="191">
        <v>20506</v>
      </c>
      <c r="D13" s="190">
        <v>1170</v>
      </c>
      <c r="E13" s="190" t="s">
        <v>249</v>
      </c>
      <c r="F13" s="190" t="s">
        <v>28</v>
      </c>
      <c r="G13" s="192" t="str">
        <f>VLOOKUP(F13,lookup!B:C,2,FALSE)</f>
        <v>Peabody</v>
      </c>
      <c r="H13" s="190" t="s">
        <v>159</v>
      </c>
      <c r="I13" s="190" t="s">
        <v>236</v>
      </c>
      <c r="J13" s="190" t="s">
        <v>458</v>
      </c>
      <c r="K13" s="190" t="s">
        <v>305</v>
      </c>
      <c r="L13" s="190" t="s">
        <v>148</v>
      </c>
      <c r="M13" s="193">
        <v>344155.26</v>
      </c>
      <c r="N13" s="194">
        <v>344155.26</v>
      </c>
      <c r="O13" s="194">
        <v>307776.26</v>
      </c>
      <c r="P13" s="194">
        <v>307776.26</v>
      </c>
      <c r="Q13" s="194">
        <v>307776.26</v>
      </c>
      <c r="R13" s="253"/>
      <c r="S13" s="195">
        <f>'20506'!H9</f>
        <v>344155.26</v>
      </c>
      <c r="T13" s="196">
        <f>'20506'!H10</f>
        <v>-36379</v>
      </c>
      <c r="U13" s="143">
        <v>0</v>
      </c>
      <c r="V13" s="198">
        <v>0</v>
      </c>
      <c r="W13" s="198">
        <v>0</v>
      </c>
      <c r="X13" s="277">
        <f t="shared" si="0"/>
        <v>0</v>
      </c>
      <c r="Y13" s="90" t="s">
        <v>320</v>
      </c>
      <c r="Z13" s="207">
        <f>VLOOKUP(C13,'Summary_by FY'!$C$1:$C$996,1,FALSE)</f>
        <v>20506</v>
      </c>
    </row>
    <row r="14" spans="1:26" s="89" customFormat="1" collapsed="1" x14ac:dyDescent="0.4">
      <c r="A14" s="92">
        <f t="shared" si="1"/>
        <v>11</v>
      </c>
      <c r="B14" s="266" t="s">
        <v>213</v>
      </c>
      <c r="C14" s="90">
        <v>20560</v>
      </c>
      <c r="D14" s="90">
        <v>4602</v>
      </c>
      <c r="E14" s="90"/>
      <c r="F14" s="90" t="s">
        <v>604</v>
      </c>
      <c r="G14" s="91" t="e">
        <f>VLOOKUP(F14,lookup!B:C,2,FALSE)</f>
        <v>#N/A</v>
      </c>
      <c r="H14" s="90" t="s">
        <v>268</v>
      </c>
      <c r="I14" s="90" t="s">
        <v>576</v>
      </c>
      <c r="J14" s="90" t="s">
        <v>459</v>
      </c>
      <c r="K14" s="90" t="s">
        <v>100</v>
      </c>
      <c r="L14" s="90" t="s">
        <v>155</v>
      </c>
      <c r="M14" s="103">
        <v>905610</v>
      </c>
      <c r="N14" s="104">
        <v>0</v>
      </c>
      <c r="O14" s="104">
        <v>0</v>
      </c>
      <c r="P14" s="104">
        <v>0</v>
      </c>
      <c r="Q14" s="104">
        <v>0</v>
      </c>
      <c r="R14" s="252"/>
      <c r="S14" s="105"/>
      <c r="T14" s="111"/>
      <c r="U14" s="143"/>
      <c r="V14" s="187"/>
      <c r="W14" s="276">
        <v>0</v>
      </c>
      <c r="X14" s="277">
        <f t="shared" si="0"/>
        <v>0</v>
      </c>
      <c r="Y14" t="s">
        <v>577</v>
      </c>
      <c r="Z14" s="207">
        <f>VLOOKUP(C14,'Summary_by FY'!$C$1:$C$996,1,FALSE)</f>
        <v>20560</v>
      </c>
    </row>
    <row r="15" spans="1:26" s="200" customFormat="1" hidden="1" outlineLevel="1" x14ac:dyDescent="0.4">
      <c r="A15" s="189">
        <f t="shared" si="1"/>
        <v>12</v>
      </c>
      <c r="B15" s="267" t="s">
        <v>89</v>
      </c>
      <c r="C15" s="191">
        <v>20562</v>
      </c>
      <c r="D15" s="190">
        <v>4564</v>
      </c>
      <c r="E15" s="190" t="s">
        <v>225</v>
      </c>
      <c r="F15" s="190" t="s">
        <v>28</v>
      </c>
      <c r="G15" s="192" t="str">
        <f>VLOOKUP(F15,lookup!B:C,2,FALSE)</f>
        <v>Peabody</v>
      </c>
      <c r="H15" s="190" t="s">
        <v>159</v>
      </c>
      <c r="I15" s="190" t="s">
        <v>107</v>
      </c>
      <c r="J15" s="190" t="s">
        <v>458</v>
      </c>
      <c r="K15" s="190" t="s">
        <v>305</v>
      </c>
      <c r="L15" s="190" t="s">
        <v>155</v>
      </c>
      <c r="M15" s="193">
        <v>400000</v>
      </c>
      <c r="N15" s="194">
        <v>405791</v>
      </c>
      <c r="O15" s="194">
        <v>362559.64</v>
      </c>
      <c r="P15" s="194">
        <v>362559.64</v>
      </c>
      <c r="Q15" s="194">
        <v>362559.64</v>
      </c>
      <c r="R15" s="253"/>
      <c r="S15" s="195">
        <f>'20562'!H9</f>
        <v>405791</v>
      </c>
      <c r="T15" s="196">
        <f>'20562'!H10</f>
        <v>-43231.360000000001</v>
      </c>
      <c r="U15" s="143">
        <v>0</v>
      </c>
      <c r="V15" s="198">
        <v>0</v>
      </c>
      <c r="W15" s="198">
        <v>0</v>
      </c>
      <c r="X15" s="277">
        <f t="shared" si="0"/>
        <v>0</v>
      </c>
      <c r="Y15" s="90" t="s">
        <v>350</v>
      </c>
      <c r="Z15" s="207">
        <f>VLOOKUP(C15,'Summary_by FY'!$C$1:$C$996,1,FALSE)</f>
        <v>20562</v>
      </c>
    </row>
    <row r="16" spans="1:26" s="89" customFormat="1" collapsed="1" x14ac:dyDescent="0.4">
      <c r="A16" s="92">
        <f t="shared" si="1"/>
        <v>13</v>
      </c>
      <c r="B16" s="266" t="s">
        <v>213</v>
      </c>
      <c r="C16" s="90">
        <v>20563</v>
      </c>
      <c r="D16" s="90">
        <v>4624</v>
      </c>
      <c r="E16" s="90"/>
      <c r="F16" s="90" t="s">
        <v>15</v>
      </c>
      <c r="G16" s="91" t="str">
        <f>VLOOKUP(F16,lookup!B:C,2,FALSE)</f>
        <v>Engineering</v>
      </c>
      <c r="H16" s="90" t="s">
        <v>160</v>
      </c>
      <c r="I16" s="90" t="s">
        <v>263</v>
      </c>
      <c r="J16" s="90" t="s">
        <v>459</v>
      </c>
      <c r="K16" s="90" t="s">
        <v>256</v>
      </c>
      <c r="L16" s="90" t="s">
        <v>148</v>
      </c>
      <c r="M16" s="103">
        <v>386000</v>
      </c>
      <c r="N16" s="104">
        <v>0</v>
      </c>
      <c r="O16" s="104">
        <v>0</v>
      </c>
      <c r="P16" s="104">
        <v>0</v>
      </c>
      <c r="Q16" s="104">
        <v>0</v>
      </c>
      <c r="R16" s="252"/>
      <c r="S16" s="105">
        <v>0</v>
      </c>
      <c r="T16" s="111">
        <v>0</v>
      </c>
      <c r="U16" s="143">
        <v>0</v>
      </c>
      <c r="V16" s="187">
        <v>0</v>
      </c>
      <c r="W16" s="187" t="s">
        <v>213</v>
      </c>
      <c r="X16" s="277" t="str">
        <f t="shared" si="0"/>
        <v>TBD</v>
      </c>
      <c r="Y16" s="90" t="s">
        <v>421</v>
      </c>
      <c r="Z16" s="207">
        <f>VLOOKUP(C16,'Summary_by FY'!$C$1:$C$996,1,FALSE)</f>
        <v>20563</v>
      </c>
    </row>
    <row r="17" spans="1:26" s="200" customFormat="1" hidden="1" outlineLevel="1" x14ac:dyDescent="0.4">
      <c r="A17" s="189">
        <f t="shared" si="1"/>
        <v>14</v>
      </c>
      <c r="B17" s="267" t="s">
        <v>89</v>
      </c>
      <c r="C17" s="191">
        <v>20566</v>
      </c>
      <c r="D17" s="190">
        <v>20054</v>
      </c>
      <c r="E17" s="190" t="s">
        <v>157</v>
      </c>
      <c r="F17" s="190" t="s">
        <v>10</v>
      </c>
      <c r="G17" s="192" t="str">
        <f>VLOOKUP(F17,lookup!B:C,2,FALSE)</f>
        <v>Arts &amp; Science</v>
      </c>
      <c r="H17" s="190" t="s">
        <v>158</v>
      </c>
      <c r="I17" s="190" t="s">
        <v>182</v>
      </c>
      <c r="J17" s="190" t="s">
        <v>458</v>
      </c>
      <c r="K17" s="190" t="s">
        <v>305</v>
      </c>
      <c r="L17" s="190" t="s">
        <v>148</v>
      </c>
      <c r="M17" s="193">
        <v>781870</v>
      </c>
      <c r="N17" s="194">
        <v>781870</v>
      </c>
      <c r="O17" s="194">
        <v>722586.68</v>
      </c>
      <c r="P17" s="194">
        <v>722586.68</v>
      </c>
      <c r="Q17" s="194">
        <v>722586.68</v>
      </c>
      <c r="R17" s="253"/>
      <c r="S17" s="195">
        <f>'20566'!H9+'20566'!H10</f>
        <v>781870</v>
      </c>
      <c r="T17" s="196">
        <f>'20566'!H11</f>
        <v>-59283.32</v>
      </c>
      <c r="U17" s="143">
        <v>0</v>
      </c>
      <c r="V17" s="198">
        <v>0</v>
      </c>
      <c r="W17" s="198">
        <v>0</v>
      </c>
      <c r="X17" s="277">
        <f t="shared" si="0"/>
        <v>0</v>
      </c>
      <c r="Y17" s="90" t="s">
        <v>339</v>
      </c>
      <c r="Z17" s="207">
        <f>VLOOKUP(C17,'Summary_by FY'!$C$1:$C$996,1,FALSE)</f>
        <v>20566</v>
      </c>
    </row>
    <row r="18" spans="1:26" s="200" customFormat="1" hidden="1" outlineLevel="1" x14ac:dyDescent="0.4">
      <c r="A18" s="189">
        <f t="shared" si="1"/>
        <v>15</v>
      </c>
      <c r="B18" s="267" t="s">
        <v>89</v>
      </c>
      <c r="C18" s="191">
        <v>20573</v>
      </c>
      <c r="D18" s="190">
        <v>8047</v>
      </c>
      <c r="E18" s="190" t="s">
        <v>233</v>
      </c>
      <c r="F18" s="190" t="s">
        <v>28</v>
      </c>
      <c r="G18" s="192" t="str">
        <f>VLOOKUP(F18,lookup!B:C,2,FALSE)</f>
        <v>Peabody</v>
      </c>
      <c r="H18" s="190" t="s">
        <v>159</v>
      </c>
      <c r="I18" s="190" t="s">
        <v>183</v>
      </c>
      <c r="J18" s="190" t="s">
        <v>458</v>
      </c>
      <c r="K18" s="190" t="s">
        <v>305</v>
      </c>
      <c r="L18" s="190" t="s">
        <v>148</v>
      </c>
      <c r="M18" s="193">
        <v>1232681</v>
      </c>
      <c r="N18" s="194">
        <v>1232681</v>
      </c>
      <c r="O18" s="194">
        <v>1113460</v>
      </c>
      <c r="P18" s="194">
        <v>1113460</v>
      </c>
      <c r="Q18" s="194">
        <v>1113460</v>
      </c>
      <c r="R18" s="253"/>
      <c r="S18" s="195">
        <f>'20573'!H9</f>
        <v>1232681</v>
      </c>
      <c r="T18" s="196">
        <f>'20573'!H10</f>
        <v>-119221</v>
      </c>
      <c r="U18" s="143">
        <v>0</v>
      </c>
      <c r="V18" s="198">
        <v>0</v>
      </c>
      <c r="W18" s="198">
        <v>0</v>
      </c>
      <c r="X18" s="277">
        <f t="shared" si="0"/>
        <v>0</v>
      </c>
      <c r="Y18" s="90" t="s">
        <v>351</v>
      </c>
      <c r="Z18" s="207">
        <f>VLOOKUP(C18,'Summary_by FY'!$C$1:$C$996,1,FALSE)</f>
        <v>20573</v>
      </c>
    </row>
    <row r="19" spans="1:26" s="200" customFormat="1" hidden="1" outlineLevel="1" x14ac:dyDescent="0.4">
      <c r="A19" s="189">
        <f t="shared" si="1"/>
        <v>16</v>
      </c>
      <c r="B19" s="267" t="s">
        <v>89</v>
      </c>
      <c r="C19" s="191">
        <v>20574</v>
      </c>
      <c r="D19" s="190">
        <v>8145</v>
      </c>
      <c r="E19" s="190" t="s">
        <v>214</v>
      </c>
      <c r="F19" s="190" t="s">
        <v>21</v>
      </c>
      <c r="G19" s="192" t="str">
        <f>VLOOKUP(F19,lookup!B:C,2,FALSE)</f>
        <v>SOM Basic Sciences</v>
      </c>
      <c r="H19" s="190" t="s">
        <v>146</v>
      </c>
      <c r="I19" s="190" t="s">
        <v>184</v>
      </c>
      <c r="J19" s="190" t="s">
        <v>458</v>
      </c>
      <c r="K19" s="190" t="s">
        <v>305</v>
      </c>
      <c r="L19" s="190" t="s">
        <v>155</v>
      </c>
      <c r="M19" s="193">
        <v>218202</v>
      </c>
      <c r="N19" s="194">
        <v>218202</v>
      </c>
      <c r="O19" s="194">
        <v>195665</v>
      </c>
      <c r="P19" s="194">
        <v>195665</v>
      </c>
      <c r="Q19" s="194">
        <v>195665</v>
      </c>
      <c r="R19" s="253"/>
      <c r="S19" s="195">
        <f>'20574'!H9</f>
        <v>218202</v>
      </c>
      <c r="T19" s="196">
        <f>'20574'!H10</f>
        <v>-22537</v>
      </c>
      <c r="U19" s="143">
        <v>0</v>
      </c>
      <c r="V19" s="198">
        <v>0</v>
      </c>
      <c r="W19" s="198">
        <v>0</v>
      </c>
      <c r="X19" s="277">
        <f t="shared" si="0"/>
        <v>0</v>
      </c>
      <c r="Y19" s="90" t="s">
        <v>350</v>
      </c>
      <c r="Z19" s="207">
        <f>VLOOKUP(C19,'Summary_by FY'!$C$1:$C$996,1,FALSE)</f>
        <v>20574</v>
      </c>
    </row>
    <row r="20" spans="1:26" s="89" customFormat="1" collapsed="1" x14ac:dyDescent="0.4">
      <c r="A20" s="92">
        <f t="shared" si="1"/>
        <v>17</v>
      </c>
      <c r="B20" s="266" t="s">
        <v>89</v>
      </c>
      <c r="C20" s="175">
        <v>20577</v>
      </c>
      <c r="D20" s="90">
        <v>8146</v>
      </c>
      <c r="E20" s="90" t="s">
        <v>164</v>
      </c>
      <c r="F20" s="90" t="s">
        <v>12</v>
      </c>
      <c r="G20" s="91" t="str">
        <f>VLOOKUP(F20,lookup!B:C,2,FALSE)</f>
        <v>Blair</v>
      </c>
      <c r="H20" s="90" t="s">
        <v>149</v>
      </c>
      <c r="I20" s="90" t="s">
        <v>423</v>
      </c>
      <c r="J20" s="90" t="s">
        <v>447</v>
      </c>
      <c r="K20" s="90" t="s">
        <v>101</v>
      </c>
      <c r="L20" s="90" t="s">
        <v>313</v>
      </c>
      <c r="M20" s="103">
        <v>1300000</v>
      </c>
      <c r="N20" s="104">
        <v>1300000</v>
      </c>
      <c r="O20" s="104">
        <v>1105354.21</v>
      </c>
      <c r="P20" s="104">
        <v>1105354.21</v>
      </c>
      <c r="Q20" s="104">
        <v>1062479.21</v>
      </c>
      <c r="R20" s="252"/>
      <c r="S20" s="105">
        <f>'20577'!H9+'20577'!H10</f>
        <v>223000</v>
      </c>
      <c r="T20" s="111">
        <v>0</v>
      </c>
      <c r="U20" s="143">
        <f>'20577'!H11</f>
        <v>1077000</v>
      </c>
      <c r="V20" s="187">
        <v>0</v>
      </c>
      <c r="W20" s="187">
        <v>0</v>
      </c>
      <c r="X20" s="277">
        <f t="shared" si="0"/>
        <v>0</v>
      </c>
      <c r="Y20" s="90" t="s">
        <v>626</v>
      </c>
      <c r="Z20" s="207">
        <f>VLOOKUP(C20,'Summary_by FY'!$C$1:$C$996,1,FALSE)</f>
        <v>20577</v>
      </c>
    </row>
    <row r="21" spans="1:26" s="200" customFormat="1" hidden="1" outlineLevel="1" x14ac:dyDescent="0.4">
      <c r="A21" s="189">
        <f t="shared" si="1"/>
        <v>18</v>
      </c>
      <c r="B21" s="267" t="s">
        <v>89</v>
      </c>
      <c r="C21" s="191">
        <v>20644</v>
      </c>
      <c r="D21" s="190">
        <v>8241</v>
      </c>
      <c r="E21" s="190" t="s">
        <v>217</v>
      </c>
      <c r="F21" s="190" t="s">
        <v>28</v>
      </c>
      <c r="G21" s="192" t="str">
        <f>VLOOKUP(F21,lookup!B:C,2,FALSE)</f>
        <v>Peabody</v>
      </c>
      <c r="H21" s="190" t="s">
        <v>156</v>
      </c>
      <c r="I21" s="190" t="s">
        <v>272</v>
      </c>
      <c r="J21" s="190" t="s">
        <v>458</v>
      </c>
      <c r="K21" s="190" t="s">
        <v>305</v>
      </c>
      <c r="L21" s="190" t="s">
        <v>148</v>
      </c>
      <c r="M21" s="193">
        <v>630554</v>
      </c>
      <c r="N21" s="194">
        <v>630554</v>
      </c>
      <c r="O21" s="194">
        <v>571789</v>
      </c>
      <c r="P21" s="194">
        <v>571789</v>
      </c>
      <c r="Q21" s="194">
        <v>571789</v>
      </c>
      <c r="R21" s="253"/>
      <c r="S21" s="195">
        <f>'20644'!H9+'20644'!H10</f>
        <v>630554</v>
      </c>
      <c r="T21" s="196">
        <f>'20644'!H11</f>
        <v>-58765</v>
      </c>
      <c r="U21" s="143">
        <v>0</v>
      </c>
      <c r="V21" s="198">
        <v>0</v>
      </c>
      <c r="W21" s="198">
        <v>0</v>
      </c>
      <c r="X21" s="277">
        <f t="shared" si="0"/>
        <v>0</v>
      </c>
      <c r="Y21" s="90" t="s">
        <v>333</v>
      </c>
      <c r="Z21" s="207">
        <f>VLOOKUP(C21,'Summary_by FY'!$C$1:$C$996,1,FALSE)</f>
        <v>20644</v>
      </c>
    </row>
    <row r="22" spans="1:26" s="200" customFormat="1" hidden="1" outlineLevel="1" x14ac:dyDescent="0.4">
      <c r="A22" s="189">
        <f t="shared" si="1"/>
        <v>19</v>
      </c>
      <c r="B22" s="267" t="s">
        <v>90</v>
      </c>
      <c r="C22" s="191">
        <v>20645</v>
      </c>
      <c r="D22" s="190">
        <v>8239</v>
      </c>
      <c r="E22" s="190"/>
      <c r="F22" s="190" t="s">
        <v>10</v>
      </c>
      <c r="G22" s="192" t="str">
        <f>VLOOKUP(F22,lookup!B:C,2,FALSE)</f>
        <v>Arts &amp; Science</v>
      </c>
      <c r="H22" s="190" t="s">
        <v>147</v>
      </c>
      <c r="I22" s="190" t="s">
        <v>110</v>
      </c>
      <c r="J22" s="190" t="s">
        <v>458</v>
      </c>
      <c r="K22" s="190" t="s">
        <v>305</v>
      </c>
      <c r="L22" s="190" t="s">
        <v>148</v>
      </c>
      <c r="M22" s="193">
        <v>125875</v>
      </c>
      <c r="N22" s="194">
        <v>125875</v>
      </c>
      <c r="O22" s="194">
        <v>114350</v>
      </c>
      <c r="P22" s="194">
        <v>114350</v>
      </c>
      <c r="Q22" s="194">
        <v>114350</v>
      </c>
      <c r="R22" s="253"/>
      <c r="S22" s="195">
        <f>'20645'!H9</f>
        <v>125875</v>
      </c>
      <c r="T22" s="196">
        <f>'20645'!H10</f>
        <v>-11525</v>
      </c>
      <c r="U22" s="143">
        <v>0</v>
      </c>
      <c r="V22" s="198">
        <v>0</v>
      </c>
      <c r="W22" s="198">
        <v>0</v>
      </c>
      <c r="X22" s="277">
        <f t="shared" si="0"/>
        <v>0</v>
      </c>
      <c r="Y22" s="90" t="s">
        <v>368</v>
      </c>
      <c r="Z22" s="207">
        <f>VLOOKUP(C22,'Summary_by FY'!$C$1:$C$996,1,FALSE)</f>
        <v>20645</v>
      </c>
    </row>
    <row r="23" spans="1:26" s="89" customFormat="1" collapsed="1" x14ac:dyDescent="0.4">
      <c r="A23" s="92">
        <f t="shared" si="1"/>
        <v>20</v>
      </c>
      <c r="B23" s="266" t="s">
        <v>89</v>
      </c>
      <c r="C23" s="175">
        <v>20667</v>
      </c>
      <c r="D23" s="90">
        <v>8168</v>
      </c>
      <c r="E23" s="90" t="s">
        <v>171</v>
      </c>
      <c r="F23" s="90" t="s">
        <v>15</v>
      </c>
      <c r="G23" s="91" t="str">
        <f>VLOOKUP(F23,lookup!B:C,2,FALSE)</f>
        <v>Engineering</v>
      </c>
      <c r="H23" s="90" t="s">
        <v>162</v>
      </c>
      <c r="I23" s="90" t="s">
        <v>163</v>
      </c>
      <c r="J23" s="90" t="s">
        <v>447</v>
      </c>
      <c r="K23" s="90" t="s">
        <v>101</v>
      </c>
      <c r="L23" s="90" t="s">
        <v>476</v>
      </c>
      <c r="M23" s="103">
        <v>1550000</v>
      </c>
      <c r="N23" s="104">
        <v>1545360</v>
      </c>
      <c r="O23" s="104">
        <v>1410434.4</v>
      </c>
      <c r="P23" s="104">
        <v>1410434.4</v>
      </c>
      <c r="Q23" s="104">
        <v>651584.78</v>
      </c>
      <c r="R23" s="252"/>
      <c r="S23" s="105">
        <f>'20667'!H10+'20667'!H11</f>
        <v>146500</v>
      </c>
      <c r="T23" s="111">
        <v>0</v>
      </c>
      <c r="U23" s="143">
        <f>'20667'!H12</f>
        <v>1398860</v>
      </c>
      <c r="V23" s="187">
        <v>0</v>
      </c>
      <c r="W23" s="187">
        <v>0</v>
      </c>
      <c r="X23" s="277">
        <f t="shared" si="0"/>
        <v>0</v>
      </c>
      <c r="Y23" s="90" t="s">
        <v>627</v>
      </c>
      <c r="Z23" s="207">
        <f>VLOOKUP(C23,'Summary_by FY'!$C$1:$C$996,1,FALSE)</f>
        <v>20667</v>
      </c>
    </row>
    <row r="24" spans="1:26" s="89" customFormat="1" x14ac:dyDescent="0.4">
      <c r="A24" s="92">
        <f t="shared" si="1"/>
        <v>21</v>
      </c>
      <c r="B24" s="266" t="s">
        <v>89</v>
      </c>
      <c r="C24" s="175">
        <v>20668</v>
      </c>
      <c r="D24" s="90">
        <v>8151</v>
      </c>
      <c r="E24" s="90" t="s">
        <v>186</v>
      </c>
      <c r="F24" s="90" t="s">
        <v>15</v>
      </c>
      <c r="G24" s="91" t="str">
        <f>VLOOKUP(F24,lookup!B:C,2,FALSE)</f>
        <v>Engineering</v>
      </c>
      <c r="H24" s="90" t="s">
        <v>160</v>
      </c>
      <c r="I24" s="90" t="s">
        <v>161</v>
      </c>
      <c r="J24" s="90" t="s">
        <v>447</v>
      </c>
      <c r="K24" s="90" t="s">
        <v>100</v>
      </c>
      <c r="L24" s="90" t="s">
        <v>155</v>
      </c>
      <c r="M24" s="103">
        <v>3960000</v>
      </c>
      <c r="N24" s="104">
        <v>231433</v>
      </c>
      <c r="O24" s="104">
        <v>231433</v>
      </c>
      <c r="P24" s="104">
        <v>231433</v>
      </c>
      <c r="Q24" s="104">
        <v>116143</v>
      </c>
      <c r="R24" s="252"/>
      <c r="S24" s="105">
        <f>'20668'!H9+'20668'!H10</f>
        <v>206500</v>
      </c>
      <c r="T24" s="111">
        <f>'20668'!H11</f>
        <v>24933</v>
      </c>
      <c r="U24" s="143">
        <v>0</v>
      </c>
      <c r="V24" s="187">
        <v>0</v>
      </c>
      <c r="W24" s="187">
        <v>0</v>
      </c>
      <c r="X24" s="277">
        <f t="shared" si="0"/>
        <v>0</v>
      </c>
      <c r="Y24" s="90" t="s">
        <v>628</v>
      </c>
      <c r="Z24" s="207">
        <f>VLOOKUP(C24,'Summary_by FY'!$C$1:$C$996,1,FALSE)</f>
        <v>20668</v>
      </c>
    </row>
    <row r="25" spans="1:26" s="89" customFormat="1" x14ac:dyDescent="0.4">
      <c r="A25" s="92">
        <f t="shared" si="1"/>
        <v>22</v>
      </c>
      <c r="B25" s="267" t="s">
        <v>89</v>
      </c>
      <c r="C25" s="175">
        <v>20698</v>
      </c>
      <c r="D25" s="90">
        <v>1138</v>
      </c>
      <c r="E25" s="90" t="s">
        <v>210</v>
      </c>
      <c r="F25" s="90" t="s">
        <v>10</v>
      </c>
      <c r="G25" s="91" t="str">
        <f>VLOOKUP(F25,lookup!B:C,2,FALSE)</f>
        <v>Arts &amp; Science</v>
      </c>
      <c r="H25" s="90" t="s">
        <v>203</v>
      </c>
      <c r="I25" s="90" t="s">
        <v>215</v>
      </c>
      <c r="J25" s="90" t="s">
        <v>458</v>
      </c>
      <c r="K25" s="303" t="s">
        <v>305</v>
      </c>
      <c r="L25" s="90" t="s">
        <v>155</v>
      </c>
      <c r="M25" s="103">
        <v>680000</v>
      </c>
      <c r="N25" s="104">
        <v>678513</v>
      </c>
      <c r="O25" s="104">
        <v>586776.36</v>
      </c>
      <c r="P25" s="104">
        <v>586776.36</v>
      </c>
      <c r="Q25" s="104">
        <v>586776.36</v>
      </c>
      <c r="R25" s="252">
        <v>91736.639999999999</v>
      </c>
      <c r="S25" s="105">
        <f>'20698'!H9+'20698'!H10+'20698'!H11</f>
        <v>29250</v>
      </c>
      <c r="T25" s="111">
        <f>'20698'!H12</f>
        <v>649263</v>
      </c>
      <c r="U25" s="143">
        <v>0</v>
      </c>
      <c r="V25" s="187">
        <v>0</v>
      </c>
      <c r="W25" s="187">
        <v>0</v>
      </c>
      <c r="X25" s="277">
        <f t="shared" si="0"/>
        <v>0</v>
      </c>
      <c r="Y25" s="90" t="s">
        <v>434</v>
      </c>
      <c r="Z25" s="207">
        <f>VLOOKUP(C25,'Summary_by FY'!$C$1:$C$996,1,FALSE)</f>
        <v>20698</v>
      </c>
    </row>
    <row r="26" spans="1:26" s="200" customFormat="1" hidden="1" outlineLevel="1" x14ac:dyDescent="0.4">
      <c r="A26" s="189">
        <f t="shared" si="1"/>
        <v>23</v>
      </c>
      <c r="B26" s="267" t="s">
        <v>90</v>
      </c>
      <c r="C26" s="191">
        <v>20700</v>
      </c>
      <c r="D26" s="190">
        <v>851</v>
      </c>
      <c r="E26" s="190"/>
      <c r="F26" s="190" t="s">
        <v>10</v>
      </c>
      <c r="G26" s="192" t="str">
        <f>VLOOKUP(F26,lookup!B:C,2,FALSE)</f>
        <v>Arts &amp; Science</v>
      </c>
      <c r="H26" s="190" t="s">
        <v>158</v>
      </c>
      <c r="I26" s="190" t="s">
        <v>331</v>
      </c>
      <c r="J26" s="190" t="s">
        <v>458</v>
      </c>
      <c r="K26" s="190" t="s">
        <v>305</v>
      </c>
      <c r="L26" s="190" t="s">
        <v>155</v>
      </c>
      <c r="M26" s="193">
        <v>80000</v>
      </c>
      <c r="N26" s="194">
        <v>85577</v>
      </c>
      <c r="O26" s="194">
        <v>85576.77</v>
      </c>
      <c r="P26" s="194">
        <v>85576.77</v>
      </c>
      <c r="Q26" s="194">
        <v>85576.77</v>
      </c>
      <c r="R26" s="253"/>
      <c r="S26" s="195">
        <f>'20700'!H9+'20700'!H10</f>
        <v>79623</v>
      </c>
      <c r="T26" s="196">
        <f>'20700'!H11</f>
        <v>5954</v>
      </c>
      <c r="U26" s="143">
        <v>0</v>
      </c>
      <c r="V26" s="198">
        <v>0</v>
      </c>
      <c r="W26" s="198">
        <v>0</v>
      </c>
      <c r="X26" s="277">
        <f t="shared" si="0"/>
        <v>0</v>
      </c>
      <c r="Y26" s="90" t="s">
        <v>340</v>
      </c>
      <c r="Z26" s="207">
        <f>VLOOKUP(C26,'Summary_by FY'!$C$1:$C$996,1,FALSE)</f>
        <v>20700</v>
      </c>
    </row>
    <row r="27" spans="1:26" s="89" customFormat="1" collapsed="1" x14ac:dyDescent="0.4">
      <c r="A27" s="92">
        <f t="shared" si="1"/>
        <v>24</v>
      </c>
      <c r="B27" s="266" t="s">
        <v>89</v>
      </c>
      <c r="C27" s="175">
        <v>20701</v>
      </c>
      <c r="D27" s="90">
        <v>4399</v>
      </c>
      <c r="E27" s="90" t="s">
        <v>262</v>
      </c>
      <c r="F27" s="90" t="s">
        <v>10</v>
      </c>
      <c r="G27" s="91" t="str">
        <f>VLOOKUP(F27,lookup!B:C,2,FALSE)</f>
        <v>Arts &amp; Science</v>
      </c>
      <c r="H27" s="90" t="s">
        <v>204</v>
      </c>
      <c r="I27" s="90" t="s">
        <v>332</v>
      </c>
      <c r="J27" s="90" t="s">
        <v>447</v>
      </c>
      <c r="K27" s="90" t="s">
        <v>258</v>
      </c>
      <c r="L27" s="90" t="s">
        <v>155</v>
      </c>
      <c r="M27" s="103">
        <v>500000</v>
      </c>
      <c r="N27" s="104">
        <v>499093</v>
      </c>
      <c r="O27" s="104">
        <v>447510.86</v>
      </c>
      <c r="P27" s="104">
        <v>447510.86</v>
      </c>
      <c r="Q27" s="104">
        <v>447510.86</v>
      </c>
      <c r="R27" s="252"/>
      <c r="S27" s="105">
        <f>'20701'!H9</f>
        <v>499093</v>
      </c>
      <c r="T27" s="111">
        <v>0</v>
      </c>
      <c r="U27" s="143">
        <v>0</v>
      </c>
      <c r="V27" s="187">
        <v>0</v>
      </c>
      <c r="W27" s="187">
        <v>0</v>
      </c>
      <c r="X27" s="277">
        <f t="shared" si="0"/>
        <v>0</v>
      </c>
      <c r="Y27" s="90" t="s">
        <v>578</v>
      </c>
      <c r="Z27" s="207">
        <f>VLOOKUP(C27,'Summary_by FY'!$C$1:$C$996,1,FALSE)</f>
        <v>20701</v>
      </c>
    </row>
    <row r="28" spans="1:26" s="200" customFormat="1" hidden="1" outlineLevel="1" x14ac:dyDescent="0.4">
      <c r="A28" s="189">
        <f t="shared" si="1"/>
        <v>25</v>
      </c>
      <c r="B28" s="267" t="s">
        <v>89</v>
      </c>
      <c r="C28" s="191">
        <v>20702</v>
      </c>
      <c r="D28" s="190">
        <v>8432</v>
      </c>
      <c r="E28" s="190" t="s">
        <v>208</v>
      </c>
      <c r="F28" s="190" t="s">
        <v>28</v>
      </c>
      <c r="G28" s="192" t="str">
        <f>VLOOKUP(F28,lookup!B:C,2,FALSE)</f>
        <v>Peabody</v>
      </c>
      <c r="H28" s="190" t="s">
        <v>159</v>
      </c>
      <c r="I28" s="190" t="s">
        <v>209</v>
      </c>
      <c r="J28" s="190" t="s">
        <v>458</v>
      </c>
      <c r="K28" s="190" t="s">
        <v>305</v>
      </c>
      <c r="L28" s="190" t="s">
        <v>148</v>
      </c>
      <c r="M28" s="193">
        <v>225791</v>
      </c>
      <c r="N28" s="194">
        <v>239341</v>
      </c>
      <c r="O28" s="194">
        <v>209419</v>
      </c>
      <c r="P28" s="194">
        <v>209419</v>
      </c>
      <c r="Q28" s="194">
        <v>209419</v>
      </c>
      <c r="R28" s="253"/>
      <c r="S28" s="195">
        <f>'20702'!H9+'20702'!H10</f>
        <v>239341</v>
      </c>
      <c r="T28" s="196">
        <f>'20702'!H11</f>
        <v>-29922</v>
      </c>
      <c r="U28" s="143">
        <v>0</v>
      </c>
      <c r="V28" s="198">
        <v>0</v>
      </c>
      <c r="W28" s="198">
        <v>0</v>
      </c>
      <c r="X28" s="277">
        <f t="shared" si="0"/>
        <v>0</v>
      </c>
      <c r="Y28" s="90" t="s">
        <v>352</v>
      </c>
      <c r="Z28" s="207">
        <f>VLOOKUP(C28,'Summary_by FY'!$C$1:$C$996,1,FALSE)</f>
        <v>20702</v>
      </c>
    </row>
    <row r="29" spans="1:26" s="200" customFormat="1" hidden="1" outlineLevel="1" x14ac:dyDescent="0.4">
      <c r="A29" s="189">
        <f t="shared" si="1"/>
        <v>26</v>
      </c>
      <c r="B29" s="267" t="s">
        <v>89</v>
      </c>
      <c r="C29" s="191">
        <v>20718</v>
      </c>
      <c r="D29" s="190">
        <v>8608</v>
      </c>
      <c r="E29" s="190" t="s">
        <v>250</v>
      </c>
      <c r="F29" s="190" t="s">
        <v>10</v>
      </c>
      <c r="G29" s="192" t="str">
        <f>VLOOKUP(F29,lookup!B:C,2,FALSE)</f>
        <v>Arts &amp; Science</v>
      </c>
      <c r="H29" s="190" t="s">
        <v>251</v>
      </c>
      <c r="I29" s="190" t="s">
        <v>252</v>
      </c>
      <c r="J29" s="190" t="s">
        <v>458</v>
      </c>
      <c r="K29" s="190" t="s">
        <v>305</v>
      </c>
      <c r="L29" s="190" t="s">
        <v>253</v>
      </c>
      <c r="M29" s="193">
        <v>715000</v>
      </c>
      <c r="N29" s="194">
        <v>715000</v>
      </c>
      <c r="O29" s="194">
        <v>656784.6</v>
      </c>
      <c r="P29" s="194">
        <v>656784.6</v>
      </c>
      <c r="Q29" s="194">
        <v>656576.59</v>
      </c>
      <c r="R29" s="253"/>
      <c r="S29" s="195">
        <f>'20718'!H9</f>
        <v>96166</v>
      </c>
      <c r="T29" s="196">
        <v>0</v>
      </c>
      <c r="U29" s="143">
        <v>0</v>
      </c>
      <c r="V29" s="198">
        <v>0</v>
      </c>
      <c r="W29" s="198">
        <v>0</v>
      </c>
      <c r="X29" s="277">
        <f t="shared" si="0"/>
        <v>0</v>
      </c>
      <c r="Y29" s="90" t="s">
        <v>369</v>
      </c>
      <c r="Z29" s="207">
        <f>VLOOKUP(C29,'Summary_by FY'!$C$1:$C$996,1,FALSE)</f>
        <v>20718</v>
      </c>
    </row>
    <row r="30" spans="1:26" s="89" customFormat="1" collapsed="1" x14ac:dyDescent="0.4">
      <c r="A30" s="92">
        <f t="shared" si="1"/>
        <v>27</v>
      </c>
      <c r="B30" s="266" t="s">
        <v>89</v>
      </c>
      <c r="C30" s="175">
        <v>20723</v>
      </c>
      <c r="D30" s="90">
        <v>1628</v>
      </c>
      <c r="E30" s="90" t="s">
        <v>244</v>
      </c>
      <c r="F30" s="90" t="s">
        <v>21</v>
      </c>
      <c r="G30" s="91" t="str">
        <f>VLOOKUP(F30,lookup!B:C,2,FALSE)</f>
        <v>SOM Basic Sciences</v>
      </c>
      <c r="H30" s="90" t="s">
        <v>146</v>
      </c>
      <c r="I30" s="90" t="s">
        <v>287</v>
      </c>
      <c r="J30" s="90" t="s">
        <v>447</v>
      </c>
      <c r="K30" s="90" t="s">
        <v>101</v>
      </c>
      <c r="L30" s="90" t="s">
        <v>313</v>
      </c>
      <c r="M30" s="103">
        <v>1610000</v>
      </c>
      <c r="N30" s="104">
        <v>1700000</v>
      </c>
      <c r="O30" s="104">
        <v>1538240.72</v>
      </c>
      <c r="P30" s="104">
        <v>1538240.72</v>
      </c>
      <c r="Q30" s="104">
        <v>784297.02</v>
      </c>
      <c r="R30" s="252"/>
      <c r="S30" s="105">
        <f>'20723'!H9+'20723'!H10</f>
        <v>160500</v>
      </c>
      <c r="T30" s="111">
        <v>0</v>
      </c>
      <c r="U30" s="143">
        <f>'20723'!H11</f>
        <v>1539500</v>
      </c>
      <c r="V30" s="187">
        <v>0</v>
      </c>
      <c r="W30" s="187">
        <v>0</v>
      </c>
      <c r="X30" s="277">
        <f t="shared" si="0"/>
        <v>0</v>
      </c>
      <c r="Y30" s="90" t="s">
        <v>629</v>
      </c>
      <c r="Z30" s="207">
        <f>VLOOKUP(C30,'Summary_by FY'!$C$1:$C$996,1,FALSE)</f>
        <v>20723</v>
      </c>
    </row>
    <row r="31" spans="1:26" s="89" customFormat="1" x14ac:dyDescent="0.4">
      <c r="A31" s="92">
        <f t="shared" si="1"/>
        <v>28</v>
      </c>
      <c r="B31" s="266" t="s">
        <v>89</v>
      </c>
      <c r="C31" s="175">
        <v>20724</v>
      </c>
      <c r="D31" s="90">
        <v>8557</v>
      </c>
      <c r="E31" s="90" t="s">
        <v>227</v>
      </c>
      <c r="F31" s="90" t="s">
        <v>12</v>
      </c>
      <c r="G31" s="91" t="str">
        <f>VLOOKUP(F31,lookup!B:C,2,FALSE)</f>
        <v>Blair</v>
      </c>
      <c r="H31" s="90" t="s">
        <v>149</v>
      </c>
      <c r="I31" s="90" t="s">
        <v>382</v>
      </c>
      <c r="J31" s="90" t="s">
        <v>447</v>
      </c>
      <c r="K31" s="90" t="s">
        <v>258</v>
      </c>
      <c r="L31" s="90" t="s">
        <v>150</v>
      </c>
      <c r="M31" s="103">
        <v>1987500</v>
      </c>
      <c r="N31" s="104">
        <v>1987500</v>
      </c>
      <c r="O31" s="104">
        <v>1873174.63</v>
      </c>
      <c r="P31" s="104">
        <v>1873174.63</v>
      </c>
      <c r="Q31" s="104">
        <v>1839258.28</v>
      </c>
      <c r="R31" s="252">
        <v>167881.35</v>
      </c>
      <c r="S31" s="105">
        <f>'20724'!H9</f>
        <v>23400</v>
      </c>
      <c r="T31" s="111">
        <f>'20724'!H10</f>
        <v>1964100</v>
      </c>
      <c r="U31" s="143">
        <v>0</v>
      </c>
      <c r="V31" s="187">
        <v>0</v>
      </c>
      <c r="W31" s="187">
        <v>0</v>
      </c>
      <c r="X31" s="277">
        <f t="shared" si="0"/>
        <v>0</v>
      </c>
      <c r="Y31" s="90" t="s">
        <v>478</v>
      </c>
      <c r="Z31" s="207">
        <f>VLOOKUP(C31,'Summary_by FY'!$C$1:$C$996,1,FALSE)</f>
        <v>20724</v>
      </c>
    </row>
    <row r="32" spans="1:26" s="200" customFormat="1" hidden="1" outlineLevel="1" x14ac:dyDescent="0.4">
      <c r="A32" s="189">
        <f t="shared" si="1"/>
        <v>29</v>
      </c>
      <c r="B32" s="267" t="s">
        <v>90</v>
      </c>
      <c r="C32" s="191">
        <v>20735</v>
      </c>
      <c r="D32" s="190">
        <v>8226</v>
      </c>
      <c r="E32" s="190"/>
      <c r="F32" s="190" t="s">
        <v>26</v>
      </c>
      <c r="G32" s="192" t="str">
        <f>VLOOKUP(F32,lookup!B:C,2,FALSE)</f>
        <v>Owen</v>
      </c>
      <c r="H32" s="190" t="s">
        <v>237</v>
      </c>
      <c r="I32" s="190" t="s">
        <v>248</v>
      </c>
      <c r="J32" s="190" t="s">
        <v>458</v>
      </c>
      <c r="K32" s="190" t="s">
        <v>305</v>
      </c>
      <c r="L32" s="190" t="s">
        <v>148</v>
      </c>
      <c r="M32" s="193">
        <v>300000</v>
      </c>
      <c r="N32" s="194">
        <v>300000</v>
      </c>
      <c r="O32" s="194">
        <v>276500</v>
      </c>
      <c r="P32" s="194">
        <v>276500</v>
      </c>
      <c r="Q32" s="194">
        <v>276500</v>
      </c>
      <c r="R32" s="253">
        <v>0</v>
      </c>
      <c r="S32" s="195">
        <f>'20735'!H9</f>
        <v>300000</v>
      </c>
      <c r="T32" s="196">
        <f>'20735'!H10</f>
        <v>-23500</v>
      </c>
      <c r="U32" s="197">
        <v>0</v>
      </c>
      <c r="V32" s="198">
        <v>0</v>
      </c>
      <c r="W32" s="198">
        <v>0</v>
      </c>
      <c r="X32" s="277">
        <f t="shared" si="0"/>
        <v>0</v>
      </c>
      <c r="Y32" s="90" t="s">
        <v>435</v>
      </c>
      <c r="Z32" s="207">
        <f>VLOOKUP(C32,'Summary_by FY'!$C$1:$C$996,1,FALSE)</f>
        <v>20735</v>
      </c>
    </row>
    <row r="33" spans="1:26" s="89" customFormat="1" collapsed="1" x14ac:dyDescent="0.4">
      <c r="A33" s="92">
        <f t="shared" si="1"/>
        <v>30</v>
      </c>
      <c r="B33" s="266" t="s">
        <v>89</v>
      </c>
      <c r="C33" s="176">
        <v>20767</v>
      </c>
      <c r="D33" s="90">
        <v>8673</v>
      </c>
      <c r="E33" s="90" t="s">
        <v>374</v>
      </c>
      <c r="F33" s="90" t="s">
        <v>28</v>
      </c>
      <c r="G33" s="91" t="str">
        <f>VLOOKUP(F33,lookup!B:C,2,FALSE)</f>
        <v>Peabody</v>
      </c>
      <c r="H33" s="90" t="s">
        <v>254</v>
      </c>
      <c r="I33" s="90" t="s">
        <v>255</v>
      </c>
      <c r="J33" s="90" t="s">
        <v>447</v>
      </c>
      <c r="K33" s="90" t="s">
        <v>286</v>
      </c>
      <c r="L33" s="90" t="s">
        <v>313</v>
      </c>
      <c r="M33" s="103">
        <v>149000</v>
      </c>
      <c r="N33" s="104">
        <v>148299</v>
      </c>
      <c r="O33" s="104">
        <v>125699</v>
      </c>
      <c r="P33" s="104">
        <v>125699</v>
      </c>
      <c r="Q33" s="104">
        <v>125699</v>
      </c>
      <c r="R33" s="252">
        <v>22600</v>
      </c>
      <c r="S33" s="105">
        <v>0</v>
      </c>
      <c r="T33" s="111">
        <f>'20767'!H9</f>
        <v>148299</v>
      </c>
      <c r="U33" s="143">
        <v>0</v>
      </c>
      <c r="V33" s="187">
        <v>0</v>
      </c>
      <c r="W33" s="187">
        <v>0</v>
      </c>
      <c r="X33" s="277">
        <f t="shared" si="0"/>
        <v>0</v>
      </c>
      <c r="Y33" s="90" t="s">
        <v>630</v>
      </c>
      <c r="Z33" s="207">
        <f>VLOOKUP(C33,'Summary_by FY'!$C$1:$C$996,1,FALSE)</f>
        <v>20767</v>
      </c>
    </row>
    <row r="34" spans="1:26" s="200" customFormat="1" hidden="1" outlineLevel="1" x14ac:dyDescent="0.4">
      <c r="A34" s="189">
        <f t="shared" si="1"/>
        <v>31</v>
      </c>
      <c r="B34" s="267" t="s">
        <v>90</v>
      </c>
      <c r="C34" s="201">
        <v>20771</v>
      </c>
      <c r="D34" s="190">
        <v>8674</v>
      </c>
      <c r="E34" s="190"/>
      <c r="F34" s="190" t="s">
        <v>10</v>
      </c>
      <c r="G34" s="192" t="str">
        <f>VLOOKUP(F34,lookup!B:C,2,FALSE)</f>
        <v>Arts &amp; Science</v>
      </c>
      <c r="H34" s="190" t="s">
        <v>158</v>
      </c>
      <c r="I34" s="190" t="s">
        <v>257</v>
      </c>
      <c r="J34" s="190" t="s">
        <v>458</v>
      </c>
      <c r="K34" s="190" t="s">
        <v>305</v>
      </c>
      <c r="L34" s="190" t="s">
        <v>155</v>
      </c>
      <c r="M34" s="193">
        <v>25000</v>
      </c>
      <c r="N34" s="194">
        <v>24997</v>
      </c>
      <c r="O34" s="194">
        <v>17972</v>
      </c>
      <c r="P34" s="194">
        <v>17972</v>
      </c>
      <c r="Q34" s="194">
        <v>17972</v>
      </c>
      <c r="R34" s="253"/>
      <c r="S34" s="195">
        <f>'20771'!H9+'20771'!H10</f>
        <v>24997</v>
      </c>
      <c r="T34" s="196">
        <f>'20771'!H11</f>
        <v>-7025</v>
      </c>
      <c r="U34" s="143">
        <v>0</v>
      </c>
      <c r="V34" s="198">
        <v>0</v>
      </c>
      <c r="W34" s="198">
        <v>0</v>
      </c>
      <c r="X34" s="277">
        <f t="shared" si="0"/>
        <v>0</v>
      </c>
      <c r="Y34" s="90" t="s">
        <v>306</v>
      </c>
      <c r="Z34" s="207">
        <f>VLOOKUP(C34,'Summary_by FY'!$C$1:$C$996,1,FALSE)</f>
        <v>20771</v>
      </c>
    </row>
    <row r="35" spans="1:26" s="200" customFormat="1" hidden="1" outlineLevel="1" x14ac:dyDescent="0.4">
      <c r="A35" s="189">
        <f t="shared" si="1"/>
        <v>32</v>
      </c>
      <c r="B35" s="267" t="s">
        <v>89</v>
      </c>
      <c r="C35" s="201">
        <v>20772</v>
      </c>
      <c r="D35" s="190">
        <v>8675</v>
      </c>
      <c r="E35" s="190" t="s">
        <v>361</v>
      </c>
      <c r="F35" s="190" t="s">
        <v>603</v>
      </c>
      <c r="G35" s="192" t="str">
        <f>VLOOKUP(F35,lookup!B:C,2,FALSE)</f>
        <v>Owen</v>
      </c>
      <c r="H35" s="190" t="s">
        <v>237</v>
      </c>
      <c r="I35" s="190" t="s">
        <v>337</v>
      </c>
      <c r="J35" s="190" t="s">
        <v>447</v>
      </c>
      <c r="K35" s="190" t="s">
        <v>258</v>
      </c>
      <c r="L35" s="190" t="s">
        <v>148</v>
      </c>
      <c r="M35" s="193">
        <v>3200000</v>
      </c>
      <c r="N35" s="194">
        <v>3200000</v>
      </c>
      <c r="O35" s="194">
        <v>2977388.14</v>
      </c>
      <c r="P35" s="194">
        <v>2977388.14</v>
      </c>
      <c r="Q35" s="194">
        <v>2977388.14</v>
      </c>
      <c r="R35" s="253">
        <v>0</v>
      </c>
      <c r="S35" s="195">
        <v>0</v>
      </c>
      <c r="T35" s="196">
        <f>'20772'!H9</f>
        <v>1600000</v>
      </c>
      <c r="U35" s="197">
        <f>'20772'!H10</f>
        <v>1600000</v>
      </c>
      <c r="V35" s="198">
        <f>'20772'!H11</f>
        <v>-222611.86</v>
      </c>
      <c r="W35" s="198">
        <v>0</v>
      </c>
      <c r="X35" s="294">
        <f t="shared" si="0"/>
        <v>-222611.86</v>
      </c>
      <c r="Y35" s="190" t="s">
        <v>470</v>
      </c>
      <c r="Z35" s="251">
        <f>VLOOKUP(C35,'Summary_by FY'!$C$1:$C$996,1,FALSE)</f>
        <v>20772</v>
      </c>
    </row>
    <row r="36" spans="1:26" s="200" customFormat="1" hidden="1" outlineLevel="1" x14ac:dyDescent="0.4">
      <c r="A36" s="189">
        <f t="shared" si="1"/>
        <v>33</v>
      </c>
      <c r="B36" s="267" t="s">
        <v>89</v>
      </c>
      <c r="C36" s="201">
        <v>20792</v>
      </c>
      <c r="D36" s="190">
        <v>1035</v>
      </c>
      <c r="E36" s="190" t="s">
        <v>274</v>
      </c>
      <c r="F36" s="190" t="s">
        <v>153</v>
      </c>
      <c r="G36" s="192" t="str">
        <f>VLOOKUP(F36,lookup!B:C,2,FALSE)</f>
        <v>Law</v>
      </c>
      <c r="H36" s="190" t="s">
        <v>268</v>
      </c>
      <c r="I36" s="190" t="s">
        <v>269</v>
      </c>
      <c r="J36" s="190" t="s">
        <v>458</v>
      </c>
      <c r="K36" s="190" t="s">
        <v>305</v>
      </c>
      <c r="L36" s="190" t="s">
        <v>148</v>
      </c>
      <c r="M36" s="193">
        <v>400000</v>
      </c>
      <c r="N36" s="194">
        <v>483440</v>
      </c>
      <c r="O36" s="194">
        <v>450775</v>
      </c>
      <c r="P36" s="194">
        <v>450775</v>
      </c>
      <c r="Q36" s="194">
        <v>450775</v>
      </c>
      <c r="R36" s="253"/>
      <c r="S36" s="195">
        <f>'20792'!H9</f>
        <v>483440</v>
      </c>
      <c r="T36" s="196">
        <f>'20792'!H10</f>
        <v>-32665</v>
      </c>
      <c r="U36" s="143">
        <v>0</v>
      </c>
      <c r="V36" s="198">
        <v>0</v>
      </c>
      <c r="W36" s="198">
        <v>0</v>
      </c>
      <c r="X36" s="277">
        <f t="shared" si="0"/>
        <v>0</v>
      </c>
      <c r="Y36" s="90" t="s">
        <v>353</v>
      </c>
      <c r="Z36" s="207">
        <f>VLOOKUP(C36,'Summary_by FY'!$C$1:$C$996,1,FALSE)</f>
        <v>20792</v>
      </c>
    </row>
    <row r="37" spans="1:26" s="89" customFormat="1" collapsed="1" x14ac:dyDescent="0.4">
      <c r="A37" s="92">
        <f t="shared" si="1"/>
        <v>34</v>
      </c>
      <c r="B37" s="266" t="s">
        <v>89</v>
      </c>
      <c r="C37" s="176">
        <v>20811</v>
      </c>
      <c r="D37" s="90">
        <v>8729</v>
      </c>
      <c r="E37" s="90" t="s">
        <v>379</v>
      </c>
      <c r="F37" s="90" t="s">
        <v>28</v>
      </c>
      <c r="G37" s="91" t="str">
        <f>VLOOKUP(F37,lookup!B:C,2,FALSE)</f>
        <v>Peabody</v>
      </c>
      <c r="H37" s="90" t="s">
        <v>326</v>
      </c>
      <c r="I37" s="90" t="s">
        <v>376</v>
      </c>
      <c r="J37" s="90" t="s">
        <v>447</v>
      </c>
      <c r="K37" s="90" t="s">
        <v>258</v>
      </c>
      <c r="L37" s="90" t="s">
        <v>148</v>
      </c>
      <c r="M37" s="103">
        <v>75000</v>
      </c>
      <c r="N37" s="104">
        <v>285233.27</v>
      </c>
      <c r="O37" s="104">
        <v>255013.19</v>
      </c>
      <c r="P37" s="104">
        <v>255013.19</v>
      </c>
      <c r="Q37" s="104">
        <v>123523.71</v>
      </c>
      <c r="R37" s="252">
        <v>32170.080000000002</v>
      </c>
      <c r="S37" s="105">
        <v>0</v>
      </c>
      <c r="T37" s="111">
        <f>'20811'!H9</f>
        <v>285233.27</v>
      </c>
      <c r="U37" s="143">
        <v>0</v>
      </c>
      <c r="V37" s="187">
        <v>0</v>
      </c>
      <c r="W37" s="187">
        <v>0</v>
      </c>
      <c r="X37" s="277">
        <f t="shared" si="0"/>
        <v>0</v>
      </c>
      <c r="Y37" s="90" t="s">
        <v>471</v>
      </c>
      <c r="Z37" s="207">
        <f>VLOOKUP(C37,'Summary_by FY'!$C$1:$C$996,1,FALSE)</f>
        <v>20811</v>
      </c>
    </row>
    <row r="38" spans="1:26" s="89" customFormat="1" x14ac:dyDescent="0.4">
      <c r="A38" s="92">
        <f t="shared" si="1"/>
        <v>35</v>
      </c>
      <c r="B38" s="266" t="s">
        <v>89</v>
      </c>
      <c r="C38" s="176">
        <v>20812</v>
      </c>
      <c r="D38" s="90">
        <v>8923</v>
      </c>
      <c r="E38" s="90" t="s">
        <v>430</v>
      </c>
      <c r="F38" s="90" t="s">
        <v>15</v>
      </c>
      <c r="G38" s="91" t="str">
        <f>VLOOKUP(F38,lookup!B:C,2,FALSE)</f>
        <v>Engineering</v>
      </c>
      <c r="H38" s="90" t="s">
        <v>411</v>
      </c>
      <c r="I38" s="90" t="s">
        <v>412</v>
      </c>
      <c r="J38" s="90" t="s">
        <v>447</v>
      </c>
      <c r="K38" s="90" t="s">
        <v>101</v>
      </c>
      <c r="L38" s="90" t="s">
        <v>155</v>
      </c>
      <c r="M38" s="103">
        <v>485000</v>
      </c>
      <c r="N38" s="104">
        <v>486135</v>
      </c>
      <c r="O38" s="104">
        <v>389190.69</v>
      </c>
      <c r="P38" s="104">
        <v>389190.69</v>
      </c>
      <c r="Q38" s="104">
        <v>142127</v>
      </c>
      <c r="R38" s="252"/>
      <c r="S38" s="105"/>
      <c r="T38" s="111"/>
      <c r="U38" s="143">
        <f>'20812'!H9+'20812'!H10+'20812'!H11</f>
        <v>486135</v>
      </c>
      <c r="V38" s="187"/>
      <c r="W38" s="187">
        <v>0</v>
      </c>
      <c r="X38" s="277">
        <f t="shared" si="0"/>
        <v>0</v>
      </c>
      <c r="Y38" s="90" t="s">
        <v>631</v>
      </c>
      <c r="Z38" s="207">
        <f>VLOOKUP(C38,'Summary_by FY'!$C$1:$C$996,1,FALSE)</f>
        <v>20812</v>
      </c>
    </row>
    <row r="39" spans="1:26" s="200" customFormat="1" hidden="1" outlineLevel="1" x14ac:dyDescent="0.4">
      <c r="A39" s="189">
        <f t="shared" si="1"/>
        <v>36</v>
      </c>
      <c r="B39" s="267" t="s">
        <v>90</v>
      </c>
      <c r="C39" s="201">
        <v>20831</v>
      </c>
      <c r="D39" s="190">
        <v>8230</v>
      </c>
      <c r="E39" s="190"/>
      <c r="F39" s="190" t="s">
        <v>10</v>
      </c>
      <c r="G39" s="192" t="str">
        <f>VLOOKUP(F39,lookup!B:C,2,FALSE)</f>
        <v>Arts &amp; Science</v>
      </c>
      <c r="H39" s="190" t="s">
        <v>311</v>
      </c>
      <c r="I39" s="190" t="s">
        <v>312</v>
      </c>
      <c r="J39" s="190" t="s">
        <v>458</v>
      </c>
      <c r="K39" s="190" t="s">
        <v>305</v>
      </c>
      <c r="L39" s="190" t="s">
        <v>155</v>
      </c>
      <c r="M39" s="193">
        <v>24000</v>
      </c>
      <c r="N39" s="194">
        <v>24000</v>
      </c>
      <c r="O39" s="194">
        <v>24000</v>
      </c>
      <c r="P39" s="194">
        <v>24000</v>
      </c>
      <c r="Q39" s="194">
        <v>24000</v>
      </c>
      <c r="R39" s="253"/>
      <c r="S39" s="195">
        <v>0</v>
      </c>
      <c r="T39" s="196">
        <f>'20831'!H18</f>
        <v>24000</v>
      </c>
      <c r="U39" s="143">
        <v>0</v>
      </c>
      <c r="V39" s="198">
        <v>0</v>
      </c>
      <c r="W39" s="198">
        <v>0</v>
      </c>
      <c r="X39" s="277">
        <f t="shared" si="0"/>
        <v>0</v>
      </c>
      <c r="Y39" s="90" t="s">
        <v>354</v>
      </c>
      <c r="Z39" s="207">
        <f>VLOOKUP(C39,'Summary_by FY'!$C$1:$C$996,1,FALSE)</f>
        <v>20831</v>
      </c>
    </row>
    <row r="40" spans="1:26" s="200" customFormat="1" hidden="1" outlineLevel="1" x14ac:dyDescent="0.4">
      <c r="A40" s="189">
        <f t="shared" si="1"/>
        <v>37</v>
      </c>
      <c r="B40" s="267" t="s">
        <v>90</v>
      </c>
      <c r="C40" s="201">
        <v>20832</v>
      </c>
      <c r="D40" s="190">
        <v>8220</v>
      </c>
      <c r="E40" s="190"/>
      <c r="F40" s="190" t="s">
        <v>10</v>
      </c>
      <c r="G40" s="192" t="str">
        <f>VLOOKUP(F40,lookup!B:C,2,FALSE)</f>
        <v>Arts &amp; Science</v>
      </c>
      <c r="H40" s="190" t="s">
        <v>203</v>
      </c>
      <c r="I40" s="190" t="s">
        <v>304</v>
      </c>
      <c r="J40" s="190" t="s">
        <v>458</v>
      </c>
      <c r="K40" s="190" t="s">
        <v>305</v>
      </c>
      <c r="L40" s="190" t="s">
        <v>155</v>
      </c>
      <c r="M40" s="193">
        <v>24000</v>
      </c>
      <c r="N40" s="194">
        <v>24000</v>
      </c>
      <c r="O40" s="194">
        <v>24000</v>
      </c>
      <c r="P40" s="194">
        <v>24000</v>
      </c>
      <c r="Q40" s="194">
        <v>24000</v>
      </c>
      <c r="R40" s="253"/>
      <c r="S40" s="195">
        <v>0</v>
      </c>
      <c r="T40" s="196">
        <f>'20832'!H18</f>
        <v>24000</v>
      </c>
      <c r="U40" s="143">
        <v>0</v>
      </c>
      <c r="V40" s="198">
        <v>0</v>
      </c>
      <c r="W40" s="198">
        <v>0</v>
      </c>
      <c r="X40" s="277">
        <f t="shared" si="0"/>
        <v>0</v>
      </c>
      <c r="Y40" s="90" t="s">
        <v>355</v>
      </c>
      <c r="Z40" s="207">
        <f>VLOOKUP(C40,'Summary_by FY'!$C$1:$C$996,1,FALSE)</f>
        <v>20832</v>
      </c>
    </row>
    <row r="41" spans="1:26" s="200" customFormat="1" hidden="1" outlineLevel="1" x14ac:dyDescent="0.4">
      <c r="A41" s="189">
        <f t="shared" si="1"/>
        <v>38</v>
      </c>
      <c r="B41" s="267" t="s">
        <v>90</v>
      </c>
      <c r="C41" s="201">
        <v>20833</v>
      </c>
      <c r="D41" s="190">
        <v>8215</v>
      </c>
      <c r="E41" s="190"/>
      <c r="F41" s="190" t="s">
        <v>10</v>
      </c>
      <c r="G41" s="192" t="str">
        <f>VLOOKUP(F41,lookup!B:C,2,FALSE)</f>
        <v>Arts &amp; Science</v>
      </c>
      <c r="H41" s="190" t="s">
        <v>204</v>
      </c>
      <c r="I41" s="190" t="s">
        <v>413</v>
      </c>
      <c r="J41" s="190" t="s">
        <v>458</v>
      </c>
      <c r="K41" s="190" t="s">
        <v>305</v>
      </c>
      <c r="L41" s="190" t="s">
        <v>155</v>
      </c>
      <c r="M41" s="193">
        <v>24000</v>
      </c>
      <c r="N41" s="194">
        <v>24000</v>
      </c>
      <c r="O41" s="194">
        <v>24000</v>
      </c>
      <c r="P41" s="194">
        <v>24000</v>
      </c>
      <c r="Q41" s="194">
        <v>24000</v>
      </c>
      <c r="R41" s="253"/>
      <c r="S41" s="195">
        <v>0</v>
      </c>
      <c r="T41" s="196">
        <f>'20833'!H18</f>
        <v>24000</v>
      </c>
      <c r="U41" s="143">
        <v>0</v>
      </c>
      <c r="V41" s="198">
        <v>0</v>
      </c>
      <c r="W41" s="198">
        <v>0</v>
      </c>
      <c r="X41" s="277">
        <f t="shared" si="0"/>
        <v>0</v>
      </c>
      <c r="Y41" s="90" t="s">
        <v>388</v>
      </c>
      <c r="Z41" s="207">
        <f>VLOOKUP(C41,'Summary_by FY'!$C$1:$C$996,1,FALSE)</f>
        <v>20833</v>
      </c>
    </row>
    <row r="42" spans="1:26" s="89" customFormat="1" collapsed="1" x14ac:dyDescent="0.4">
      <c r="A42" s="92">
        <f t="shared" si="1"/>
        <v>39</v>
      </c>
      <c r="B42" s="266" t="s">
        <v>89</v>
      </c>
      <c r="C42" s="176">
        <v>20857</v>
      </c>
      <c r="D42" s="90">
        <v>8427</v>
      </c>
      <c r="E42" s="90" t="s">
        <v>327</v>
      </c>
      <c r="F42" s="90" t="s">
        <v>28</v>
      </c>
      <c r="G42" s="91" t="str">
        <f>VLOOKUP(F42,lookup!B:C,2,FALSE)</f>
        <v>Peabody</v>
      </c>
      <c r="H42" s="90" t="s">
        <v>326</v>
      </c>
      <c r="I42" s="90" t="s">
        <v>325</v>
      </c>
      <c r="J42" s="90" t="s">
        <v>447</v>
      </c>
      <c r="K42" s="90" t="s">
        <v>575</v>
      </c>
      <c r="L42" s="90" t="s">
        <v>148</v>
      </c>
      <c r="M42" s="103">
        <v>499184</v>
      </c>
      <c r="N42" s="104">
        <v>499184</v>
      </c>
      <c r="O42" s="104">
        <v>483144.67</v>
      </c>
      <c r="P42" s="104">
        <v>483144.67</v>
      </c>
      <c r="Q42" s="104">
        <v>472146.67</v>
      </c>
      <c r="R42" s="252"/>
      <c r="S42" s="105">
        <v>0</v>
      </c>
      <c r="T42" s="111">
        <f>'20857'!H9+'20857'!H10+'20857'!H11</f>
        <v>499184</v>
      </c>
      <c r="U42" s="143">
        <v>0</v>
      </c>
      <c r="V42" s="187">
        <v>0</v>
      </c>
      <c r="W42" s="187">
        <v>0</v>
      </c>
      <c r="X42" s="277">
        <f t="shared" si="0"/>
        <v>0</v>
      </c>
      <c r="Y42" s="90" t="s">
        <v>632</v>
      </c>
      <c r="Z42" s="207">
        <f>VLOOKUP(C42,'Summary_by FY'!$C$1:$C$996,1,FALSE)</f>
        <v>20857</v>
      </c>
    </row>
    <row r="43" spans="1:26" s="200" customFormat="1" x14ac:dyDescent="0.4">
      <c r="A43" s="92">
        <f t="shared" si="1"/>
        <v>40</v>
      </c>
      <c r="B43" s="266" t="s">
        <v>89</v>
      </c>
      <c r="C43" s="176">
        <v>20884</v>
      </c>
      <c r="D43" s="90">
        <v>8807</v>
      </c>
      <c r="E43" s="90" t="s">
        <v>386</v>
      </c>
      <c r="F43" s="90" t="s">
        <v>19</v>
      </c>
      <c r="G43" s="91" t="str">
        <f>VLOOKUP(F43,lookup!B:C,2,FALSE)</f>
        <v>Law</v>
      </c>
      <c r="H43" s="90" t="s">
        <v>268</v>
      </c>
      <c r="I43" s="90" t="s">
        <v>336</v>
      </c>
      <c r="J43" s="90" t="s">
        <v>447</v>
      </c>
      <c r="K43" s="90" t="s">
        <v>258</v>
      </c>
      <c r="L43" s="90" t="s">
        <v>148</v>
      </c>
      <c r="M43" s="103">
        <v>675650</v>
      </c>
      <c r="N43" s="104">
        <v>675650</v>
      </c>
      <c r="O43" s="104">
        <v>480318</v>
      </c>
      <c r="P43" s="104">
        <v>480318</v>
      </c>
      <c r="Q43" s="104">
        <v>480318</v>
      </c>
      <c r="R43" s="252">
        <v>195332</v>
      </c>
      <c r="S43" s="105">
        <v>0</v>
      </c>
      <c r="T43" s="111">
        <f>'20884'!H9</f>
        <v>675650</v>
      </c>
      <c r="U43" s="143">
        <v>0</v>
      </c>
      <c r="V43" s="187">
        <v>0</v>
      </c>
      <c r="W43" s="187">
        <v>0</v>
      </c>
      <c r="X43" s="277">
        <f t="shared" si="0"/>
        <v>0</v>
      </c>
      <c r="Y43" s="90" t="s">
        <v>436</v>
      </c>
      <c r="Z43" s="207">
        <f>VLOOKUP(C43,'Summary_by FY'!$C$1:$C$996,1,FALSE)</f>
        <v>20884</v>
      </c>
    </row>
    <row r="44" spans="1:26" s="89" customFormat="1" x14ac:dyDescent="0.4">
      <c r="A44" s="92">
        <f t="shared" si="1"/>
        <v>41</v>
      </c>
      <c r="B44" s="266" t="s">
        <v>90</v>
      </c>
      <c r="C44" s="176">
        <v>20885</v>
      </c>
      <c r="D44" s="90">
        <v>8676</v>
      </c>
      <c r="E44" s="90"/>
      <c r="F44" s="90" t="s">
        <v>10</v>
      </c>
      <c r="G44" s="91" t="str">
        <f>VLOOKUP(F44,lookup!B:C,2,FALSE)</f>
        <v>Arts &amp; Science</v>
      </c>
      <c r="H44" s="90" t="s">
        <v>338</v>
      </c>
      <c r="I44" s="90" t="s">
        <v>341</v>
      </c>
      <c r="J44" s="90" t="s">
        <v>447</v>
      </c>
      <c r="K44" s="90" t="s">
        <v>575</v>
      </c>
      <c r="L44" s="90" t="s">
        <v>155</v>
      </c>
      <c r="M44" s="103">
        <v>130000</v>
      </c>
      <c r="N44" s="104">
        <v>143053.4</v>
      </c>
      <c r="O44" s="104">
        <v>123743.89</v>
      </c>
      <c r="P44" s="104">
        <v>123743.89</v>
      </c>
      <c r="Q44" s="104">
        <v>123743.89</v>
      </c>
      <c r="R44" s="252"/>
      <c r="S44" s="105">
        <v>0</v>
      </c>
      <c r="T44" s="111">
        <f>'20885'!H9+'20885'!H10</f>
        <v>113053.4</v>
      </c>
      <c r="U44" s="143">
        <f>'20885'!H11</f>
        <v>30000</v>
      </c>
      <c r="V44" s="187">
        <v>0</v>
      </c>
      <c r="W44" s="187">
        <v>0</v>
      </c>
      <c r="X44" s="277">
        <f t="shared" si="0"/>
        <v>0</v>
      </c>
      <c r="Y44" s="90" t="s">
        <v>579</v>
      </c>
      <c r="Z44" s="207">
        <f>VLOOKUP(C44,'Summary_by FY'!$C$1:$C$996,1,FALSE)</f>
        <v>20885</v>
      </c>
    </row>
    <row r="45" spans="1:26" s="89" customFormat="1" x14ac:dyDescent="0.4">
      <c r="A45" s="92">
        <f t="shared" si="1"/>
        <v>42</v>
      </c>
      <c r="B45" s="266" t="s">
        <v>90</v>
      </c>
      <c r="C45" s="176">
        <v>20911</v>
      </c>
      <c r="D45" s="90">
        <v>8819</v>
      </c>
      <c r="E45" s="90"/>
      <c r="F45" s="90" t="s">
        <v>10</v>
      </c>
      <c r="G45" s="91" t="str">
        <f>VLOOKUP(F45,lookup!B:C,2,FALSE)</f>
        <v>Arts &amp; Science</v>
      </c>
      <c r="H45" s="90" t="s">
        <v>251</v>
      </c>
      <c r="I45" s="90" t="s">
        <v>346</v>
      </c>
      <c r="J45" s="90" t="s">
        <v>458</v>
      </c>
      <c r="K45" s="303" t="s">
        <v>305</v>
      </c>
      <c r="L45" s="90" t="s">
        <v>148</v>
      </c>
      <c r="M45" s="103">
        <v>61045</v>
      </c>
      <c r="N45" s="104">
        <v>61045</v>
      </c>
      <c r="O45" s="104">
        <v>54613</v>
      </c>
      <c r="P45" s="104">
        <v>54613</v>
      </c>
      <c r="Q45" s="104">
        <v>54613</v>
      </c>
      <c r="R45" s="252">
        <v>6432</v>
      </c>
      <c r="S45" s="105">
        <v>0</v>
      </c>
      <c r="T45" s="111">
        <f>'20911'!H9+'20911'!H10</f>
        <v>61045</v>
      </c>
      <c r="U45" s="143">
        <v>0</v>
      </c>
      <c r="V45" s="187">
        <v>0</v>
      </c>
      <c r="W45" s="187">
        <v>0</v>
      </c>
      <c r="X45" s="277">
        <f t="shared" si="0"/>
        <v>0</v>
      </c>
      <c r="Y45" s="90" t="s">
        <v>467</v>
      </c>
      <c r="Z45" s="207">
        <f>VLOOKUP(C45,'Summary_by FY'!$C$1:$C$996,1,FALSE)</f>
        <v>20911</v>
      </c>
    </row>
    <row r="46" spans="1:26" s="89" customFormat="1" x14ac:dyDescent="0.4">
      <c r="A46" s="92">
        <f t="shared" si="1"/>
        <v>43</v>
      </c>
      <c r="B46" s="266" t="s">
        <v>90</v>
      </c>
      <c r="C46" s="176">
        <v>20912</v>
      </c>
      <c r="D46" s="90">
        <v>8822</v>
      </c>
      <c r="E46" s="90"/>
      <c r="F46" s="90" t="s">
        <v>10</v>
      </c>
      <c r="G46" s="91" t="str">
        <f>VLOOKUP(F46,lookup!B:C,2,FALSE)</f>
        <v>Arts &amp; Science</v>
      </c>
      <c r="H46" s="90" t="s">
        <v>147</v>
      </c>
      <c r="I46" s="90" t="s">
        <v>347</v>
      </c>
      <c r="J46" s="90" t="s">
        <v>447</v>
      </c>
      <c r="K46" s="90" t="s">
        <v>286</v>
      </c>
      <c r="L46" s="90" t="s">
        <v>148</v>
      </c>
      <c r="M46" s="103">
        <v>59798</v>
      </c>
      <c r="N46" s="104">
        <v>59798</v>
      </c>
      <c r="O46" s="104">
        <v>53366</v>
      </c>
      <c r="P46" s="104">
        <v>53366</v>
      </c>
      <c r="Q46" s="104">
        <v>52466</v>
      </c>
      <c r="R46" s="252">
        <v>6432</v>
      </c>
      <c r="S46" s="105">
        <v>0</v>
      </c>
      <c r="T46" s="111">
        <f>'20912'!H9+'20912'!H10</f>
        <v>59798</v>
      </c>
      <c r="U46" s="143">
        <v>0</v>
      </c>
      <c r="V46" s="187">
        <v>0</v>
      </c>
      <c r="W46" s="187">
        <v>0</v>
      </c>
      <c r="X46" s="277">
        <f t="shared" si="0"/>
        <v>0</v>
      </c>
      <c r="Y46" s="90" t="s">
        <v>633</v>
      </c>
      <c r="Z46" s="207">
        <f>VLOOKUP(C46,'Summary_by FY'!$C$1:$C$996,1,FALSE)</f>
        <v>20912</v>
      </c>
    </row>
    <row r="47" spans="1:26" s="89" customFormat="1" x14ac:dyDescent="0.4">
      <c r="A47" s="92">
        <f t="shared" si="1"/>
        <v>44</v>
      </c>
      <c r="B47" s="266" t="s">
        <v>90</v>
      </c>
      <c r="C47" s="176">
        <v>20913</v>
      </c>
      <c r="D47" s="90">
        <v>8818</v>
      </c>
      <c r="E47" s="90"/>
      <c r="F47" s="90" t="s">
        <v>10</v>
      </c>
      <c r="G47" s="91" t="str">
        <f>VLOOKUP(F47,lookup!B:C,2,FALSE)</f>
        <v>Arts &amp; Science</v>
      </c>
      <c r="H47" s="90" t="s">
        <v>203</v>
      </c>
      <c r="I47" s="90" t="s">
        <v>348</v>
      </c>
      <c r="J47" s="90" t="s">
        <v>447</v>
      </c>
      <c r="K47" s="90" t="s">
        <v>258</v>
      </c>
      <c r="L47" s="90" t="s">
        <v>148</v>
      </c>
      <c r="M47" s="103">
        <v>96612</v>
      </c>
      <c r="N47" s="104">
        <v>96612</v>
      </c>
      <c r="O47" s="104">
        <v>86900</v>
      </c>
      <c r="P47" s="104">
        <v>86900</v>
      </c>
      <c r="Q47" s="104">
        <v>86000</v>
      </c>
      <c r="R47" s="252">
        <v>9712</v>
      </c>
      <c r="S47" s="105">
        <v>0</v>
      </c>
      <c r="T47" s="111">
        <f>'20913'!H9+'20913'!H10</f>
        <v>96612</v>
      </c>
      <c r="U47" s="143">
        <v>0</v>
      </c>
      <c r="V47" s="187">
        <v>0</v>
      </c>
      <c r="W47" s="187">
        <v>0</v>
      </c>
      <c r="X47" s="277">
        <f t="shared" si="0"/>
        <v>0</v>
      </c>
      <c r="Y47" s="90" t="s">
        <v>479</v>
      </c>
      <c r="Z47" s="207">
        <f>VLOOKUP(C47,'Summary_by FY'!$C$1:$C$996,1,FALSE)</f>
        <v>20913</v>
      </c>
    </row>
    <row r="48" spans="1:26" s="89" customFormat="1" x14ac:dyDescent="0.4">
      <c r="A48" s="92">
        <f t="shared" si="1"/>
        <v>45</v>
      </c>
      <c r="B48" s="266" t="s">
        <v>89</v>
      </c>
      <c r="C48" s="176">
        <v>20922</v>
      </c>
      <c r="D48" s="90">
        <v>8720</v>
      </c>
      <c r="E48" s="90" t="s">
        <v>389</v>
      </c>
      <c r="F48" s="90" t="s">
        <v>10</v>
      </c>
      <c r="G48" s="91" t="str">
        <f>VLOOKUP(F48,lookup!B:C,2,FALSE)</f>
        <v>Arts &amp; Science</v>
      </c>
      <c r="H48" s="90" t="s">
        <v>387</v>
      </c>
      <c r="I48" s="90" t="s">
        <v>391</v>
      </c>
      <c r="J48" s="90" t="s">
        <v>447</v>
      </c>
      <c r="K48" s="90" t="s">
        <v>286</v>
      </c>
      <c r="L48" s="90" t="s">
        <v>313</v>
      </c>
      <c r="M48" s="103">
        <v>170000</v>
      </c>
      <c r="N48" s="104">
        <v>197150</v>
      </c>
      <c r="O48" s="104">
        <v>170000</v>
      </c>
      <c r="P48" s="104">
        <v>170000</v>
      </c>
      <c r="Q48" s="104">
        <v>170000</v>
      </c>
      <c r="R48" s="252">
        <v>27150</v>
      </c>
      <c r="S48" s="105">
        <v>0</v>
      </c>
      <c r="T48" s="111">
        <f>'20922'!H9</f>
        <v>197150</v>
      </c>
      <c r="U48" s="143">
        <v>0</v>
      </c>
      <c r="V48" s="187">
        <v>0</v>
      </c>
      <c r="W48" s="187">
        <v>0</v>
      </c>
      <c r="X48" s="277">
        <f t="shared" si="0"/>
        <v>0</v>
      </c>
      <c r="Y48" s="90" t="s">
        <v>634</v>
      </c>
      <c r="Z48" s="207">
        <f>VLOOKUP(C48,'Summary_by FY'!$C$1:$C$996,1,FALSE)</f>
        <v>20922</v>
      </c>
    </row>
    <row r="49" spans="1:26" s="200" customFormat="1" hidden="1" outlineLevel="1" x14ac:dyDescent="0.4">
      <c r="A49" s="189">
        <f t="shared" si="1"/>
        <v>46</v>
      </c>
      <c r="B49" s="267" t="s">
        <v>90</v>
      </c>
      <c r="C49" s="201">
        <v>20924</v>
      </c>
      <c r="D49" s="190">
        <v>8737</v>
      </c>
      <c r="E49" s="190"/>
      <c r="F49" s="190" t="s">
        <v>25</v>
      </c>
      <c r="G49" s="192" t="str">
        <f>VLOOKUP(F49,lookup!B:C,2,FALSE)</f>
        <v>Nursing</v>
      </c>
      <c r="H49" s="190" t="s">
        <v>362</v>
      </c>
      <c r="I49" s="190" t="s">
        <v>363</v>
      </c>
      <c r="J49" s="190" t="s">
        <v>458</v>
      </c>
      <c r="K49" s="190" t="s">
        <v>305</v>
      </c>
      <c r="L49" s="190" t="s">
        <v>148</v>
      </c>
      <c r="M49" s="193">
        <v>30570</v>
      </c>
      <c r="N49" s="194">
        <v>30570</v>
      </c>
      <c r="O49" s="194">
        <v>24500</v>
      </c>
      <c r="P49" s="194">
        <v>24500</v>
      </c>
      <c r="Q49" s="194">
        <v>24500</v>
      </c>
      <c r="R49" s="253">
        <v>6070</v>
      </c>
      <c r="S49" s="195">
        <v>0</v>
      </c>
      <c r="T49" s="196">
        <f>'20924'!H9</f>
        <v>30570</v>
      </c>
      <c r="U49" s="197">
        <f>'20924'!H10</f>
        <v>-6070</v>
      </c>
      <c r="V49" s="198">
        <v>0</v>
      </c>
      <c r="W49" s="198">
        <v>0</v>
      </c>
      <c r="X49" s="277">
        <f t="shared" si="0"/>
        <v>0</v>
      </c>
      <c r="Y49" s="190" t="s">
        <v>437</v>
      </c>
      <c r="Z49" s="251">
        <f>VLOOKUP(C49,'Summary_by FY'!$C$1:$C$996,1,FALSE)</f>
        <v>20924</v>
      </c>
    </row>
    <row r="50" spans="1:26" s="89" customFormat="1" collapsed="1" x14ac:dyDescent="0.4">
      <c r="A50" s="92">
        <f t="shared" si="1"/>
        <v>47</v>
      </c>
      <c r="B50" s="266" t="s">
        <v>89</v>
      </c>
      <c r="C50" s="176">
        <v>20925</v>
      </c>
      <c r="D50" s="90">
        <v>8260</v>
      </c>
      <c r="E50" s="90" t="s">
        <v>474</v>
      </c>
      <c r="F50" s="90" t="s">
        <v>12</v>
      </c>
      <c r="G50" s="91" t="str">
        <f>VLOOKUP(F50,lookup!B:C,2,FALSE)</f>
        <v>Blair</v>
      </c>
      <c r="H50" s="90" t="s">
        <v>149</v>
      </c>
      <c r="I50" s="90" t="s">
        <v>365</v>
      </c>
      <c r="J50" s="90" t="s">
        <v>447</v>
      </c>
      <c r="K50" s="90" t="s">
        <v>101</v>
      </c>
      <c r="L50" s="90" t="s">
        <v>313</v>
      </c>
      <c r="M50" s="103">
        <v>2125000</v>
      </c>
      <c r="N50" s="104">
        <v>2125000</v>
      </c>
      <c r="O50" s="104">
        <v>433800</v>
      </c>
      <c r="P50" s="104">
        <v>1837827</v>
      </c>
      <c r="Q50" s="104">
        <v>0</v>
      </c>
      <c r="R50" s="252"/>
      <c r="S50" s="105">
        <v>0</v>
      </c>
      <c r="T50" s="111">
        <v>0</v>
      </c>
      <c r="U50" s="143">
        <f>'20925'!H9</f>
        <v>409000</v>
      </c>
      <c r="V50" s="187">
        <f>'20925'!H10</f>
        <v>1716000</v>
      </c>
      <c r="W50" s="187">
        <v>0</v>
      </c>
      <c r="X50" s="277">
        <f t="shared" si="0"/>
        <v>1716000</v>
      </c>
      <c r="Y50" s="90" t="s">
        <v>635</v>
      </c>
      <c r="Z50" s="207">
        <f>VLOOKUP(C50,'Summary_by FY'!$C$1:$C$996,1,FALSE)</f>
        <v>20925</v>
      </c>
    </row>
    <row r="51" spans="1:26" s="89" customFormat="1" x14ac:dyDescent="0.4">
      <c r="A51" s="92">
        <f t="shared" si="1"/>
        <v>48</v>
      </c>
      <c r="B51" s="266" t="s">
        <v>90</v>
      </c>
      <c r="C51" s="176">
        <v>20936</v>
      </c>
      <c r="D51" s="90">
        <v>8814</v>
      </c>
      <c r="E51" s="90"/>
      <c r="F51" s="90" t="s">
        <v>10</v>
      </c>
      <c r="G51" s="91" t="str">
        <f>VLOOKUP(F51,lookup!B:C,2,FALSE)</f>
        <v>Arts &amp; Science</v>
      </c>
      <c r="H51" s="90" t="s">
        <v>203</v>
      </c>
      <c r="I51" s="90" t="s">
        <v>366</v>
      </c>
      <c r="J51" s="90" t="s">
        <v>447</v>
      </c>
      <c r="K51" s="90" t="s">
        <v>286</v>
      </c>
      <c r="L51" s="90" t="s">
        <v>313</v>
      </c>
      <c r="M51" s="103">
        <v>405000</v>
      </c>
      <c r="N51" s="104">
        <v>404655.91</v>
      </c>
      <c r="O51" s="104">
        <v>357255.91</v>
      </c>
      <c r="P51" s="104">
        <v>357255.91</v>
      </c>
      <c r="Q51" s="104">
        <v>357255.91</v>
      </c>
      <c r="R51" s="252">
        <v>47400</v>
      </c>
      <c r="S51" s="105">
        <v>0</v>
      </c>
      <c r="T51" s="111">
        <f>'20936'!H9</f>
        <v>404655.91</v>
      </c>
      <c r="U51" s="143">
        <v>0</v>
      </c>
      <c r="V51" s="187">
        <v>0</v>
      </c>
      <c r="W51" s="187">
        <v>0</v>
      </c>
      <c r="X51" s="277">
        <f t="shared" si="0"/>
        <v>0</v>
      </c>
      <c r="Y51" s="90" t="s">
        <v>636</v>
      </c>
      <c r="Z51" s="207">
        <f>VLOOKUP(C51,'Summary_by FY'!$C$1:$C$996,1,FALSE)</f>
        <v>20936</v>
      </c>
    </row>
    <row r="52" spans="1:26" s="89" customFormat="1" x14ac:dyDescent="0.4">
      <c r="A52" s="92">
        <f t="shared" si="1"/>
        <v>49</v>
      </c>
      <c r="B52" s="266" t="s">
        <v>89</v>
      </c>
      <c r="C52" s="176">
        <v>20940</v>
      </c>
      <c r="D52" s="90">
        <v>8412</v>
      </c>
      <c r="E52" s="90" t="s">
        <v>431</v>
      </c>
      <c r="F52" s="90" t="s">
        <v>15</v>
      </c>
      <c r="G52" s="91" t="str">
        <f>VLOOKUP(F52,lookup!B:C,2,FALSE)</f>
        <v>Engineering</v>
      </c>
      <c r="H52" s="90" t="s">
        <v>162</v>
      </c>
      <c r="I52" s="90" t="s">
        <v>367</v>
      </c>
      <c r="J52" s="90" t="s">
        <v>447</v>
      </c>
      <c r="K52" s="90" t="s">
        <v>258</v>
      </c>
      <c r="L52" s="90" t="s">
        <v>155</v>
      </c>
      <c r="M52" s="103">
        <v>310000</v>
      </c>
      <c r="N52" s="104">
        <v>309548.64</v>
      </c>
      <c r="O52" s="104">
        <v>298567.26</v>
      </c>
      <c r="P52" s="104">
        <v>298567.26</v>
      </c>
      <c r="Q52" s="104">
        <v>298332.12</v>
      </c>
      <c r="R52" s="252"/>
      <c r="S52" s="105">
        <v>0</v>
      </c>
      <c r="T52" s="111">
        <v>0</v>
      </c>
      <c r="U52" s="143">
        <f>'20940'!H9+'20940'!H10</f>
        <v>309548.64</v>
      </c>
      <c r="V52" s="187">
        <v>0</v>
      </c>
      <c r="W52" s="187">
        <v>0</v>
      </c>
      <c r="X52" s="277">
        <f t="shared" si="0"/>
        <v>0</v>
      </c>
      <c r="Y52" s="90" t="s">
        <v>580</v>
      </c>
      <c r="Z52" s="207">
        <f>VLOOKUP(C52,'Summary_by FY'!$C$1:$C$996,1,FALSE)</f>
        <v>20940</v>
      </c>
    </row>
    <row r="53" spans="1:26" s="89" customFormat="1" collapsed="1" x14ac:dyDescent="0.4">
      <c r="A53" s="92">
        <f t="shared" si="1"/>
        <v>50</v>
      </c>
      <c r="B53" s="266" t="s">
        <v>90</v>
      </c>
      <c r="C53" s="176">
        <v>20945</v>
      </c>
      <c r="D53" s="90">
        <v>8905</v>
      </c>
      <c r="E53" s="90"/>
      <c r="F53" s="90" t="s">
        <v>380</v>
      </c>
      <c r="G53" s="91" t="str">
        <f>VLOOKUP(F53,lookup!B:C,2,FALSE)</f>
        <v>Other</v>
      </c>
      <c r="H53" s="90" t="s">
        <v>345</v>
      </c>
      <c r="I53" s="90" t="s">
        <v>373</v>
      </c>
      <c r="J53" s="90" t="s">
        <v>447</v>
      </c>
      <c r="K53" s="90" t="s">
        <v>258</v>
      </c>
      <c r="L53" s="90" t="s">
        <v>155</v>
      </c>
      <c r="M53" s="103">
        <v>99000</v>
      </c>
      <c r="N53" s="104">
        <v>99000</v>
      </c>
      <c r="O53" s="104">
        <v>82897</v>
      </c>
      <c r="P53" s="104">
        <v>82897</v>
      </c>
      <c r="Q53" s="104">
        <v>70200</v>
      </c>
      <c r="R53" s="252">
        <v>16103</v>
      </c>
      <c r="S53" s="105">
        <v>0</v>
      </c>
      <c r="T53" s="111">
        <f>'20945'!H9</f>
        <v>99000</v>
      </c>
      <c r="U53" s="143">
        <v>0</v>
      </c>
      <c r="V53" s="187">
        <v>0</v>
      </c>
      <c r="W53" s="187">
        <v>0</v>
      </c>
      <c r="X53" s="277">
        <f t="shared" si="0"/>
        <v>0</v>
      </c>
      <c r="Y53" s="90" t="s">
        <v>438</v>
      </c>
      <c r="Z53" s="207">
        <f>VLOOKUP(C53,'Summary_by FY'!$C$1:$C$996,1,FALSE)</f>
        <v>20945</v>
      </c>
    </row>
    <row r="54" spans="1:26" s="89" customFormat="1" x14ac:dyDescent="0.4">
      <c r="A54" s="92">
        <f t="shared" si="1"/>
        <v>51</v>
      </c>
      <c r="B54" s="266" t="s">
        <v>89</v>
      </c>
      <c r="C54" s="176">
        <v>20958</v>
      </c>
      <c r="D54" s="90">
        <v>1642</v>
      </c>
      <c r="E54" s="90" t="s">
        <v>390</v>
      </c>
      <c r="F54" t="s">
        <v>10</v>
      </c>
      <c r="G54" s="91" t="str">
        <f>VLOOKUP(F54,lookup!B:C,2,FALSE)</f>
        <v>Arts &amp; Science</v>
      </c>
      <c r="H54" s="90" t="s">
        <v>377</v>
      </c>
      <c r="I54" s="11" t="s">
        <v>378</v>
      </c>
      <c r="J54" s="11" t="s">
        <v>447</v>
      </c>
      <c r="K54" s="90" t="s">
        <v>101</v>
      </c>
      <c r="L54" s="90" t="s">
        <v>148</v>
      </c>
      <c r="M54" s="103">
        <v>290000</v>
      </c>
      <c r="N54" s="104">
        <v>261629</v>
      </c>
      <c r="O54" s="104">
        <v>239133</v>
      </c>
      <c r="P54" s="104">
        <v>239133</v>
      </c>
      <c r="Q54" s="104">
        <v>131676.91</v>
      </c>
      <c r="R54" s="252"/>
      <c r="S54" s="105">
        <v>0</v>
      </c>
      <c r="T54" s="111">
        <f>'20958'!H9</f>
        <v>18175</v>
      </c>
      <c r="U54" s="143">
        <f>'20958'!H10</f>
        <v>243454</v>
      </c>
      <c r="V54" s="187">
        <v>0</v>
      </c>
      <c r="W54" s="187">
        <v>0</v>
      </c>
      <c r="X54" s="277">
        <f t="shared" si="0"/>
        <v>0</v>
      </c>
      <c r="Y54" s="90" t="s">
        <v>637</v>
      </c>
      <c r="Z54" s="207">
        <f>VLOOKUP(C54,'Summary_by FY'!$C$1:$C$996,1,FALSE)</f>
        <v>20958</v>
      </c>
    </row>
    <row r="55" spans="1:26" s="89" customFormat="1" x14ac:dyDescent="0.4">
      <c r="A55" s="92">
        <f t="shared" si="1"/>
        <v>52</v>
      </c>
      <c r="B55" s="266" t="s">
        <v>89</v>
      </c>
      <c r="C55" s="176">
        <v>20962</v>
      </c>
      <c r="D55" s="90">
        <v>8754</v>
      </c>
      <c r="E55" s="90"/>
      <c r="F55" s="90" t="s">
        <v>10</v>
      </c>
      <c r="G55" s="91" t="str">
        <f>VLOOKUP(F55,lookup!B:C,2,FALSE)</f>
        <v>Arts &amp; Science</v>
      </c>
      <c r="H55" s="90" t="s">
        <v>387</v>
      </c>
      <c r="I55" s="89" t="s">
        <v>385</v>
      </c>
      <c r="J55" s="89" t="s">
        <v>447</v>
      </c>
      <c r="K55" s="90" t="s">
        <v>100</v>
      </c>
      <c r="L55" s="90" t="s">
        <v>148</v>
      </c>
      <c r="M55" s="103">
        <v>1750000</v>
      </c>
      <c r="N55" s="104">
        <v>1800</v>
      </c>
      <c r="O55" s="104">
        <v>1800</v>
      </c>
      <c r="P55" s="104">
        <v>1800</v>
      </c>
      <c r="Q55" s="104">
        <v>1800</v>
      </c>
      <c r="R55" s="252"/>
      <c r="S55" s="105">
        <v>0</v>
      </c>
      <c r="T55" s="111">
        <v>0</v>
      </c>
      <c r="U55" s="143">
        <f>'20962'!H9</f>
        <v>1800</v>
      </c>
      <c r="V55" s="187">
        <v>0</v>
      </c>
      <c r="W55" s="187">
        <v>500000</v>
      </c>
      <c r="X55" s="277">
        <f t="shared" si="0"/>
        <v>500000</v>
      </c>
      <c r="Y55" s="90" t="s">
        <v>638</v>
      </c>
      <c r="Z55" s="207">
        <f>VLOOKUP(C55,'Summary_by FY'!$C$1:$C$996,1,FALSE)</f>
        <v>20962</v>
      </c>
    </row>
    <row r="56" spans="1:26" s="89" customFormat="1" x14ac:dyDescent="0.4">
      <c r="A56" s="92">
        <f t="shared" si="1"/>
        <v>53</v>
      </c>
      <c r="B56" s="266" t="s">
        <v>89</v>
      </c>
      <c r="C56" s="176">
        <v>20979</v>
      </c>
      <c r="D56" s="90">
        <v>9</v>
      </c>
      <c r="E56" s="90" t="s">
        <v>475</v>
      </c>
      <c r="F56" s="90" t="s">
        <v>15</v>
      </c>
      <c r="G56" s="91" t="str">
        <f>VLOOKUP(F56,lookup!B:C,2,FALSE)</f>
        <v>Engineering</v>
      </c>
      <c r="H56" s="90" t="s">
        <v>162</v>
      </c>
      <c r="I56" s="90" t="s">
        <v>392</v>
      </c>
      <c r="J56" s="90" t="s">
        <v>447</v>
      </c>
      <c r="K56" s="90" t="s">
        <v>101</v>
      </c>
      <c r="L56" s="90" t="s">
        <v>476</v>
      </c>
      <c r="M56" s="103">
        <v>270000</v>
      </c>
      <c r="N56" s="104">
        <v>529750</v>
      </c>
      <c r="O56" s="104">
        <v>476000</v>
      </c>
      <c r="P56" s="104">
        <v>476000</v>
      </c>
      <c r="Q56" s="104">
        <v>0</v>
      </c>
      <c r="R56" s="252"/>
      <c r="S56" s="105">
        <v>0</v>
      </c>
      <c r="T56" s="111">
        <v>0</v>
      </c>
      <c r="U56" s="143">
        <f>'20979'!H9</f>
        <v>529750</v>
      </c>
      <c r="V56" s="187">
        <v>0</v>
      </c>
      <c r="W56" s="187">
        <v>0</v>
      </c>
      <c r="X56" s="277">
        <f t="shared" si="0"/>
        <v>0</v>
      </c>
      <c r="Y56" s="90" t="s">
        <v>639</v>
      </c>
      <c r="Z56" s="207">
        <f>VLOOKUP(C56,'Summary_by FY'!$C$1:$C$996,1,FALSE)</f>
        <v>20979</v>
      </c>
    </row>
    <row r="57" spans="1:26" s="89" customFormat="1" x14ac:dyDescent="0.4">
      <c r="A57" s="92">
        <f t="shared" si="1"/>
        <v>54</v>
      </c>
      <c r="B57" s="266" t="s">
        <v>89</v>
      </c>
      <c r="C57" s="176">
        <v>20982</v>
      </c>
      <c r="D57" s="90">
        <v>8442</v>
      </c>
      <c r="E57" s="90" t="s">
        <v>395</v>
      </c>
      <c r="F57" s="90" t="s">
        <v>153</v>
      </c>
      <c r="G57" s="91" t="str">
        <f>VLOOKUP(F57,lookup!B:C,2,FALSE)</f>
        <v>Law</v>
      </c>
      <c r="H57" s="90" t="s">
        <v>268</v>
      </c>
      <c r="I57" s="90" t="s">
        <v>393</v>
      </c>
      <c r="J57" s="90" t="s">
        <v>447</v>
      </c>
      <c r="K57" s="90" t="s">
        <v>575</v>
      </c>
      <c r="L57" s="90" t="s">
        <v>148</v>
      </c>
      <c r="M57" s="103">
        <v>272000</v>
      </c>
      <c r="N57" s="104">
        <v>272000</v>
      </c>
      <c r="O57" s="104">
        <v>249821</v>
      </c>
      <c r="P57" s="104">
        <v>249821</v>
      </c>
      <c r="Q57" s="104">
        <v>80518</v>
      </c>
      <c r="R57" s="252"/>
      <c r="S57" s="105">
        <v>0</v>
      </c>
      <c r="T57" s="111">
        <f>'20982'!H9</f>
        <v>18175</v>
      </c>
      <c r="U57" s="143">
        <f>'20982'!H10</f>
        <v>253825</v>
      </c>
      <c r="V57" s="187">
        <v>0</v>
      </c>
      <c r="W57" s="187">
        <v>0</v>
      </c>
      <c r="X57" s="277">
        <f t="shared" si="0"/>
        <v>0</v>
      </c>
      <c r="Y57" s="90" t="s">
        <v>632</v>
      </c>
      <c r="Z57" s="207">
        <f>VLOOKUP(C57,'Summary_by FY'!$C$1:$C$996,1,FALSE)</f>
        <v>20982</v>
      </c>
    </row>
    <row r="58" spans="1:26" s="89" customFormat="1" x14ac:dyDescent="0.4">
      <c r="A58" s="92">
        <f t="shared" si="1"/>
        <v>55</v>
      </c>
      <c r="B58" s="266" t="s">
        <v>90</v>
      </c>
      <c r="C58" s="176">
        <v>20984</v>
      </c>
      <c r="D58" s="90">
        <v>8712</v>
      </c>
      <c r="E58" s="90"/>
      <c r="F58" s="90" t="s">
        <v>10</v>
      </c>
      <c r="G58" s="91" t="str">
        <f>VLOOKUP(F58,lookup!B:C,2,FALSE)</f>
        <v>Arts &amp; Science</v>
      </c>
      <c r="H58" s="90" t="s">
        <v>203</v>
      </c>
      <c r="I58" s="90" t="s">
        <v>414</v>
      </c>
      <c r="J58" s="90" t="s">
        <v>447</v>
      </c>
      <c r="K58" s="90" t="s">
        <v>258</v>
      </c>
      <c r="L58" s="90" t="s">
        <v>150</v>
      </c>
      <c r="M58" s="103">
        <v>167000</v>
      </c>
      <c r="N58" s="104">
        <v>167000</v>
      </c>
      <c r="O58" s="104">
        <v>143484.6</v>
      </c>
      <c r="P58" s="104">
        <v>143484.6</v>
      </c>
      <c r="Q58" s="104">
        <v>136652</v>
      </c>
      <c r="R58" s="252">
        <v>23515.4</v>
      </c>
      <c r="S58" s="105">
        <v>0</v>
      </c>
      <c r="T58" s="111">
        <v>0</v>
      </c>
      <c r="U58" s="143">
        <f>'20984'!H9</f>
        <v>167000</v>
      </c>
      <c r="V58" s="187">
        <v>0</v>
      </c>
      <c r="W58" s="187">
        <v>0</v>
      </c>
      <c r="X58" s="277">
        <f t="shared" si="0"/>
        <v>0</v>
      </c>
      <c r="Y58" s="90" t="s">
        <v>480</v>
      </c>
      <c r="Z58" s="207">
        <f>VLOOKUP(C58,'Summary_by FY'!$C$1:$C$996,1,FALSE)</f>
        <v>20984</v>
      </c>
    </row>
    <row r="59" spans="1:26" s="89" customFormat="1" x14ac:dyDescent="0.4">
      <c r="A59" s="92">
        <f t="shared" si="1"/>
        <v>56</v>
      </c>
      <c r="B59" s="266" t="s">
        <v>89</v>
      </c>
      <c r="C59" s="176">
        <v>21004</v>
      </c>
      <c r="D59" s="90">
        <v>1010</v>
      </c>
      <c r="E59" s="90" t="s">
        <v>602</v>
      </c>
      <c r="F59" s="90" t="s">
        <v>10</v>
      </c>
      <c r="G59" s="91" t="str">
        <f>VLOOKUP(F59,lookup!B:C,2,FALSE)</f>
        <v>Arts &amp; Science</v>
      </c>
      <c r="H59" s="90" t="s">
        <v>204</v>
      </c>
      <c r="I59" s="90" t="s">
        <v>415</v>
      </c>
      <c r="J59" s="90" t="s">
        <v>447</v>
      </c>
      <c r="K59" s="90" t="s">
        <v>101</v>
      </c>
      <c r="L59" s="90" t="s">
        <v>313</v>
      </c>
      <c r="M59" s="103">
        <v>940000</v>
      </c>
      <c r="N59" s="104">
        <v>992453</v>
      </c>
      <c r="O59" s="104">
        <v>811113</v>
      </c>
      <c r="P59" s="104">
        <v>811113</v>
      </c>
      <c r="Q59" s="104">
        <v>35200</v>
      </c>
      <c r="R59" s="252"/>
      <c r="S59" s="105">
        <v>0</v>
      </c>
      <c r="T59" s="111">
        <v>0</v>
      </c>
      <c r="U59" s="143">
        <f>'21004'!H9+'21004'!H10</f>
        <v>992453</v>
      </c>
      <c r="V59" s="187">
        <v>0</v>
      </c>
      <c r="W59" s="187" t="s">
        <v>213</v>
      </c>
      <c r="X59" s="277" t="str">
        <f t="shared" si="0"/>
        <v>TBD</v>
      </c>
      <c r="Y59" s="90" t="s">
        <v>640</v>
      </c>
      <c r="Z59" s="207">
        <f>VLOOKUP(C59,'Summary_by FY'!$C$1:$C$996,1,FALSE)</f>
        <v>21004</v>
      </c>
    </row>
    <row r="60" spans="1:26" s="89" customFormat="1" x14ac:dyDescent="0.4">
      <c r="A60" s="92">
        <f t="shared" si="1"/>
        <v>57</v>
      </c>
      <c r="B60" s="266" t="s">
        <v>89</v>
      </c>
      <c r="C60" s="90">
        <v>21005</v>
      </c>
      <c r="D60" s="90"/>
      <c r="E60" s="90"/>
      <c r="F60" s="90" t="s">
        <v>10</v>
      </c>
      <c r="G60" s="91" t="str">
        <f>VLOOKUP(F60,lookup!B:C,2,FALSE)</f>
        <v>Arts &amp; Science</v>
      </c>
      <c r="H60" s="90" t="s">
        <v>204</v>
      </c>
      <c r="I60" s="90" t="s">
        <v>416</v>
      </c>
      <c r="J60" s="90" t="s">
        <v>459</v>
      </c>
      <c r="K60" s="90" t="s">
        <v>364</v>
      </c>
      <c r="L60" s="90" t="s">
        <v>313</v>
      </c>
      <c r="M60" s="103">
        <v>0</v>
      </c>
      <c r="N60" s="104">
        <v>0</v>
      </c>
      <c r="O60" s="104">
        <v>0</v>
      </c>
      <c r="P60" s="104">
        <v>0</v>
      </c>
      <c r="Q60" s="104">
        <v>0</v>
      </c>
      <c r="R60" s="252"/>
      <c r="S60" s="105">
        <v>0</v>
      </c>
      <c r="T60" s="111">
        <v>0</v>
      </c>
      <c r="U60" s="143">
        <v>0</v>
      </c>
      <c r="V60" s="187">
        <v>0</v>
      </c>
      <c r="W60" s="187" t="s">
        <v>213</v>
      </c>
      <c r="X60" s="277" t="str">
        <f t="shared" si="0"/>
        <v>TBD</v>
      </c>
      <c r="Y60" s="90" t="s">
        <v>439</v>
      </c>
      <c r="Z60" s="207">
        <f>VLOOKUP(C60,'Summary_by FY'!$C$1:$C$996,1,FALSE)</f>
        <v>21005</v>
      </c>
    </row>
    <row r="61" spans="1:26" s="89" customFormat="1" x14ac:dyDescent="0.4">
      <c r="A61" s="92">
        <f t="shared" si="1"/>
        <v>58</v>
      </c>
      <c r="B61" s="266" t="s">
        <v>89</v>
      </c>
      <c r="C61" s="90">
        <v>21006</v>
      </c>
      <c r="D61" s="90"/>
      <c r="E61" s="90"/>
      <c r="F61" s="90" t="s">
        <v>15</v>
      </c>
      <c r="G61" s="91" t="str">
        <f>VLOOKUP(F61,lookup!B:C,2,FALSE)</f>
        <v>Engineering</v>
      </c>
      <c r="H61" s="90" t="s">
        <v>204</v>
      </c>
      <c r="I61" s="90" t="s">
        <v>417</v>
      </c>
      <c r="J61" s="90" t="s">
        <v>459</v>
      </c>
      <c r="K61" s="90" t="s">
        <v>364</v>
      </c>
      <c r="L61" s="90" t="s">
        <v>313</v>
      </c>
      <c r="M61" s="103">
        <v>0</v>
      </c>
      <c r="N61" s="104">
        <v>0</v>
      </c>
      <c r="O61" s="104">
        <v>0</v>
      </c>
      <c r="P61" s="104">
        <v>0</v>
      </c>
      <c r="Q61" s="104">
        <v>0</v>
      </c>
      <c r="R61" s="252"/>
      <c r="S61" s="105">
        <v>0</v>
      </c>
      <c r="T61" s="111">
        <v>0</v>
      </c>
      <c r="U61" s="143">
        <v>0</v>
      </c>
      <c r="V61" s="187">
        <v>0</v>
      </c>
      <c r="W61" s="187" t="s">
        <v>213</v>
      </c>
      <c r="X61" s="277" t="str">
        <f t="shared" si="0"/>
        <v>TBD</v>
      </c>
      <c r="Y61" s="90" t="s">
        <v>440</v>
      </c>
      <c r="Z61" s="207">
        <f>VLOOKUP(C61,'Summary_by FY'!$C$1:$C$996,1,FALSE)</f>
        <v>21006</v>
      </c>
    </row>
    <row r="62" spans="1:26" s="89" customFormat="1" x14ac:dyDescent="0.4">
      <c r="A62" s="92">
        <f t="shared" si="1"/>
        <v>59</v>
      </c>
      <c r="B62" s="266" t="s">
        <v>89</v>
      </c>
      <c r="C62" s="90">
        <v>21007</v>
      </c>
      <c r="D62" s="90"/>
      <c r="E62" s="90"/>
      <c r="F62" s="90" t="s">
        <v>15</v>
      </c>
      <c r="G62" s="91" t="str">
        <f>VLOOKUP(F62,lookup!B:C,2,FALSE)</f>
        <v>Engineering</v>
      </c>
      <c r="H62" s="90" t="s">
        <v>204</v>
      </c>
      <c r="I62" s="90" t="s">
        <v>418</v>
      </c>
      <c r="J62" s="90" t="s">
        <v>459</v>
      </c>
      <c r="K62" s="90" t="s">
        <v>364</v>
      </c>
      <c r="L62" s="90" t="s">
        <v>313</v>
      </c>
      <c r="M62" s="103">
        <v>0</v>
      </c>
      <c r="N62" s="104">
        <v>0</v>
      </c>
      <c r="O62" s="104">
        <v>0</v>
      </c>
      <c r="P62" s="104">
        <v>0</v>
      </c>
      <c r="Q62" s="104">
        <v>0</v>
      </c>
      <c r="R62" s="252"/>
      <c r="S62" s="105">
        <v>0</v>
      </c>
      <c r="T62" s="111">
        <v>0</v>
      </c>
      <c r="U62" s="143">
        <v>0</v>
      </c>
      <c r="V62" s="187">
        <v>0</v>
      </c>
      <c r="W62" s="187" t="s">
        <v>213</v>
      </c>
      <c r="X62" s="277" t="str">
        <f t="shared" si="0"/>
        <v>TBD</v>
      </c>
      <c r="Y62" s="90" t="s">
        <v>441</v>
      </c>
      <c r="Z62" s="207">
        <f>VLOOKUP(C62,'Summary_by FY'!$C$1:$C$996,1,FALSE)</f>
        <v>21007</v>
      </c>
    </row>
    <row r="63" spans="1:26" s="89" customFormat="1" x14ac:dyDescent="0.4">
      <c r="A63" s="92">
        <f t="shared" si="1"/>
        <v>60</v>
      </c>
      <c r="B63" s="266" t="s">
        <v>89</v>
      </c>
      <c r="C63" s="176">
        <v>21010</v>
      </c>
      <c r="D63" s="90"/>
      <c r="E63" s="90" t="s">
        <v>461</v>
      </c>
      <c r="F63" s="90" t="s">
        <v>15</v>
      </c>
      <c r="G63" s="91" t="str">
        <f>VLOOKUP(F63,lookup!B:C,2,FALSE)</f>
        <v>Engineering</v>
      </c>
      <c r="H63" s="90" t="s">
        <v>419</v>
      </c>
      <c r="I63" s="90" t="s">
        <v>460</v>
      </c>
      <c r="J63" s="90" t="s">
        <v>447</v>
      </c>
      <c r="K63" s="90" t="s">
        <v>258</v>
      </c>
      <c r="L63" s="90" t="s">
        <v>155</v>
      </c>
      <c r="M63" s="103">
        <v>125000</v>
      </c>
      <c r="N63" s="104">
        <v>126024</v>
      </c>
      <c r="O63" s="104">
        <v>111595.98</v>
      </c>
      <c r="P63" s="104">
        <v>111595.98</v>
      </c>
      <c r="Q63" s="104">
        <v>111595.98</v>
      </c>
      <c r="R63" s="252"/>
      <c r="S63" s="105">
        <v>0</v>
      </c>
      <c r="T63" s="111">
        <v>0</v>
      </c>
      <c r="U63" s="143">
        <f>'21010'!H9</f>
        <v>126024</v>
      </c>
      <c r="V63" s="187">
        <v>0</v>
      </c>
      <c r="W63" s="187" t="s">
        <v>213</v>
      </c>
      <c r="X63" s="277" t="str">
        <f t="shared" si="0"/>
        <v>TBD</v>
      </c>
      <c r="Y63" s="90" t="s">
        <v>481</v>
      </c>
      <c r="Z63" s="207">
        <f>VLOOKUP(C63,'Summary_by FY'!$C$1:$C$996,1,FALSE)</f>
        <v>21010</v>
      </c>
    </row>
    <row r="64" spans="1:26" s="89" customFormat="1" x14ac:dyDescent="0.4">
      <c r="A64" s="92">
        <f t="shared" si="1"/>
        <v>61</v>
      </c>
      <c r="B64" s="266" t="s">
        <v>90</v>
      </c>
      <c r="C64" s="176">
        <v>21035</v>
      </c>
      <c r="D64" s="90"/>
      <c r="E64" s="90"/>
      <c r="F64" s="90" t="s">
        <v>153</v>
      </c>
      <c r="G64" s="91" t="str">
        <f>VLOOKUP(F64,lookup!B:C,2,FALSE)</f>
        <v>Law</v>
      </c>
      <c r="H64" s="90" t="s">
        <v>268</v>
      </c>
      <c r="I64" s="90" t="s">
        <v>477</v>
      </c>
      <c r="J64" s="90" t="s">
        <v>447</v>
      </c>
      <c r="K64" s="90" t="s">
        <v>286</v>
      </c>
      <c r="L64" s="90" t="s">
        <v>148</v>
      </c>
      <c r="M64" s="103">
        <v>50000</v>
      </c>
      <c r="N64" s="104">
        <v>36108.160000000003</v>
      </c>
      <c r="O64" s="104">
        <v>32589.24</v>
      </c>
      <c r="P64" s="104">
        <v>32589.24</v>
      </c>
      <c r="Q64" s="104">
        <v>0</v>
      </c>
      <c r="R64" s="252"/>
      <c r="S64" s="105"/>
      <c r="T64" s="111"/>
      <c r="U64" s="143">
        <f>'21035'!H9</f>
        <v>36108.160000000003</v>
      </c>
      <c r="V64" s="187">
        <v>0</v>
      </c>
      <c r="W64" s="187">
        <v>0</v>
      </c>
      <c r="X64" s="277">
        <f t="shared" si="0"/>
        <v>0</v>
      </c>
      <c r="Y64" s="90" t="s">
        <v>641</v>
      </c>
      <c r="Z64" s="207">
        <f>VLOOKUP(C64,'Summary_by FY'!$C$1:$C$996,1,FALSE)</f>
        <v>21035</v>
      </c>
    </row>
    <row r="65" spans="1:26" s="89" customFormat="1" x14ac:dyDescent="0.4">
      <c r="A65" s="92">
        <f t="shared" si="1"/>
        <v>62</v>
      </c>
      <c r="B65" s="266" t="s">
        <v>89</v>
      </c>
      <c r="C65" s="90">
        <v>21051</v>
      </c>
      <c r="D65" s="90">
        <v>8784</v>
      </c>
      <c r="E65" s="90"/>
      <c r="F65" s="90" t="s">
        <v>21</v>
      </c>
      <c r="G65" s="91" t="str">
        <f>VLOOKUP(F65,lookup!B:C,2,FALSE)</f>
        <v>SOM Basic Sciences</v>
      </c>
      <c r="H65" s="90" t="s">
        <v>146</v>
      </c>
      <c r="I65" s="90" t="s">
        <v>432</v>
      </c>
      <c r="J65" s="90" t="s">
        <v>459</v>
      </c>
      <c r="K65" s="90" t="s">
        <v>100</v>
      </c>
      <c r="L65" s="90" t="s">
        <v>313</v>
      </c>
      <c r="M65" s="103">
        <v>0</v>
      </c>
      <c r="N65" s="104">
        <v>0</v>
      </c>
      <c r="O65" s="104">
        <v>0</v>
      </c>
      <c r="P65" s="104">
        <v>0</v>
      </c>
      <c r="Q65" s="104">
        <v>0</v>
      </c>
      <c r="R65" s="252"/>
      <c r="S65" s="105">
        <v>0</v>
      </c>
      <c r="T65" s="111">
        <v>0</v>
      </c>
      <c r="U65" s="143">
        <v>0</v>
      </c>
      <c r="V65" s="187">
        <v>0</v>
      </c>
      <c r="W65" s="187">
        <v>1600000</v>
      </c>
      <c r="X65" s="277">
        <f t="shared" si="0"/>
        <v>1600000</v>
      </c>
      <c r="Y65" s="90" t="s">
        <v>609</v>
      </c>
      <c r="Z65" s="207">
        <f>VLOOKUP(C65,'Summary_by FY'!$C$1:$C$996,1,FALSE)</f>
        <v>21051</v>
      </c>
    </row>
    <row r="66" spans="1:26" s="89" customFormat="1" x14ac:dyDescent="0.4">
      <c r="A66" s="92">
        <f t="shared" si="1"/>
        <v>63</v>
      </c>
      <c r="B66" s="266" t="s">
        <v>89</v>
      </c>
      <c r="C66" s="176">
        <v>21066</v>
      </c>
      <c r="D66" s="90"/>
      <c r="E66" s="90" t="s">
        <v>462</v>
      </c>
      <c r="F66" s="90" t="s">
        <v>428</v>
      </c>
      <c r="G66" s="91" t="str">
        <f>VLOOKUP(F66,lookup!B:C,2,FALSE)</f>
        <v>Arts &amp; Science</v>
      </c>
      <c r="H66" s="90" t="s">
        <v>445</v>
      </c>
      <c r="I66" s="90" t="s">
        <v>446</v>
      </c>
      <c r="J66" s="90" t="s">
        <v>447</v>
      </c>
      <c r="K66" s="90" t="s">
        <v>364</v>
      </c>
      <c r="L66" s="90" t="s">
        <v>155</v>
      </c>
      <c r="M66" s="103">
        <v>29160</v>
      </c>
      <c r="N66" s="104">
        <v>29160</v>
      </c>
      <c r="O66" s="104">
        <v>29160</v>
      </c>
      <c r="P66" s="104">
        <v>29160</v>
      </c>
      <c r="Q66" s="104">
        <v>24786</v>
      </c>
      <c r="R66" s="252"/>
      <c r="S66" s="105">
        <v>0</v>
      </c>
      <c r="T66" s="111">
        <v>0</v>
      </c>
      <c r="U66" s="143">
        <f>'21066'!H9</f>
        <v>29160</v>
      </c>
      <c r="V66" s="187">
        <v>0</v>
      </c>
      <c r="W66" s="187" t="s">
        <v>213</v>
      </c>
      <c r="X66" s="277" t="str">
        <f t="shared" si="0"/>
        <v>TBD</v>
      </c>
      <c r="Y66" s="90" t="s">
        <v>642</v>
      </c>
      <c r="Z66" s="207">
        <f>VLOOKUP(C66,'Summary_by FY'!$C$1:$C$996,1,FALSE)</f>
        <v>21066</v>
      </c>
    </row>
    <row r="67" spans="1:26" s="89" customFormat="1" x14ac:dyDescent="0.4">
      <c r="A67" s="92">
        <f t="shared" si="1"/>
        <v>64</v>
      </c>
      <c r="B67" s="266" t="s">
        <v>89</v>
      </c>
      <c r="C67" s="176">
        <v>21067</v>
      </c>
      <c r="D67" s="90"/>
      <c r="E67" s="90" t="s">
        <v>463</v>
      </c>
      <c r="F67" s="90" t="s">
        <v>25</v>
      </c>
      <c r="G67" s="91" t="str">
        <f>VLOOKUP(F67,lookup!B:C,2,FALSE)</f>
        <v>Nursing</v>
      </c>
      <c r="H67" s="90" t="s">
        <v>329</v>
      </c>
      <c r="I67" s="90" t="s">
        <v>605</v>
      </c>
      <c r="J67" s="90" t="s">
        <v>447</v>
      </c>
      <c r="K67" s="90" t="s">
        <v>100</v>
      </c>
      <c r="L67" s="90" t="s">
        <v>155</v>
      </c>
      <c r="M67" s="103">
        <v>2500000</v>
      </c>
      <c r="N67" s="104">
        <v>46600</v>
      </c>
      <c r="O67" s="104">
        <v>46600</v>
      </c>
      <c r="P67" s="104">
        <v>46600</v>
      </c>
      <c r="Q67" s="104">
        <v>1300</v>
      </c>
      <c r="R67" s="252"/>
      <c r="S67" s="105">
        <v>0</v>
      </c>
      <c r="T67" s="111">
        <v>0</v>
      </c>
      <c r="U67" s="143">
        <f>'21067'!H9+'21067'!H10</f>
        <v>46600</v>
      </c>
      <c r="V67" s="187">
        <v>0</v>
      </c>
      <c r="W67" s="187">
        <v>2100000</v>
      </c>
      <c r="X67" s="277">
        <f t="shared" si="0"/>
        <v>2100000</v>
      </c>
      <c r="Y67" s="90" t="s">
        <v>643</v>
      </c>
      <c r="Z67" s="207">
        <f>VLOOKUP(C67,'Summary_by FY'!$C$1:$C$996,1,FALSE)</f>
        <v>21067</v>
      </c>
    </row>
    <row r="68" spans="1:26" s="89" customFormat="1" x14ac:dyDescent="0.4">
      <c r="A68" s="92">
        <f t="shared" si="1"/>
        <v>65</v>
      </c>
      <c r="B68" s="266" t="s">
        <v>90</v>
      </c>
      <c r="C68" s="176">
        <v>21068</v>
      </c>
      <c r="D68" s="90"/>
      <c r="E68" s="90"/>
      <c r="F68" s="90" t="s">
        <v>10</v>
      </c>
      <c r="G68" s="91" t="str">
        <f>VLOOKUP(F68,lookup!B:C,2,FALSE)</f>
        <v>Arts &amp; Science</v>
      </c>
      <c r="H68" s="90" t="s">
        <v>251</v>
      </c>
      <c r="I68" s="90" t="s">
        <v>448</v>
      </c>
      <c r="J68" s="90" t="s">
        <v>447</v>
      </c>
      <c r="K68" s="90" t="s">
        <v>575</v>
      </c>
      <c r="L68" s="90" t="s">
        <v>313</v>
      </c>
      <c r="M68" s="103">
        <v>0</v>
      </c>
      <c r="N68" s="104">
        <v>34837.4</v>
      </c>
      <c r="O68" s="104">
        <v>24737.4</v>
      </c>
      <c r="P68" s="104">
        <v>24737.4</v>
      </c>
      <c r="Q68" s="104">
        <v>24737.4</v>
      </c>
      <c r="R68" s="252"/>
      <c r="S68" s="105">
        <v>0</v>
      </c>
      <c r="T68" s="111">
        <v>0</v>
      </c>
      <c r="U68" s="143">
        <f>'21068'!H9</f>
        <v>34837.4</v>
      </c>
      <c r="V68" s="187">
        <v>0</v>
      </c>
      <c r="W68" s="187" t="s">
        <v>213</v>
      </c>
      <c r="X68" s="277" t="str">
        <f t="shared" si="0"/>
        <v>TBD</v>
      </c>
      <c r="Y68" s="90" t="s">
        <v>482</v>
      </c>
      <c r="Z68" s="207">
        <f>VLOOKUP(C68,'Summary_by FY'!$C$1:$C$996,1,FALSE)</f>
        <v>21068</v>
      </c>
    </row>
    <row r="69" spans="1:26" s="89" customFormat="1" x14ac:dyDescent="0.4">
      <c r="A69" s="92">
        <f t="shared" si="1"/>
        <v>66</v>
      </c>
      <c r="B69" s="266" t="s">
        <v>90</v>
      </c>
      <c r="C69" s="176">
        <v>21070</v>
      </c>
      <c r="D69" s="90">
        <v>8733</v>
      </c>
      <c r="E69" s="90"/>
      <c r="F69" s="90" t="s">
        <v>15</v>
      </c>
      <c r="G69" s="91" t="str">
        <f>VLOOKUP(F69,lookup!B:C,2,FALSE)</f>
        <v>Engineering</v>
      </c>
      <c r="H69" s="90" t="s">
        <v>449</v>
      </c>
      <c r="I69" s="90" t="s">
        <v>450</v>
      </c>
      <c r="J69" s="90" t="s">
        <v>447</v>
      </c>
      <c r="K69" s="90" t="s">
        <v>286</v>
      </c>
      <c r="L69" s="90" t="s">
        <v>148</v>
      </c>
      <c r="M69" s="103">
        <v>848722</v>
      </c>
      <c r="N69" s="104">
        <v>392042.1</v>
      </c>
      <c r="O69" s="104">
        <v>331331</v>
      </c>
      <c r="P69" s="104">
        <v>331331</v>
      </c>
      <c r="Q69" s="104">
        <v>308101</v>
      </c>
      <c r="R69" s="252"/>
      <c r="S69" s="105">
        <v>0</v>
      </c>
      <c r="T69" s="111">
        <v>0</v>
      </c>
      <c r="U69" s="143">
        <f>'21070'!H9</f>
        <v>392042.1</v>
      </c>
      <c r="V69" s="187">
        <v>0</v>
      </c>
      <c r="W69" s="187" t="s">
        <v>213</v>
      </c>
      <c r="X69" s="277" t="str">
        <f t="shared" ref="X69:X80" si="2">IF(W69="TBD","TBD",V69+W69)</f>
        <v>TBD</v>
      </c>
      <c r="Y69" s="90" t="s">
        <v>644</v>
      </c>
      <c r="Z69" s="207">
        <f>VLOOKUP(C69,'Summary_by FY'!$C$1:$C$996,1,FALSE)</f>
        <v>21070</v>
      </c>
    </row>
    <row r="70" spans="1:26" s="89" customFormat="1" x14ac:dyDescent="0.4">
      <c r="A70" s="92">
        <f t="shared" ref="A70:A90" si="3">A69+1</f>
        <v>67</v>
      </c>
      <c r="B70" s="266" t="s">
        <v>89</v>
      </c>
      <c r="C70" s="176">
        <v>21071</v>
      </c>
      <c r="D70" s="90"/>
      <c r="E70" s="90" t="s">
        <v>464</v>
      </c>
      <c r="F70" s="90" t="s">
        <v>10</v>
      </c>
      <c r="G70" s="91" t="str">
        <f>VLOOKUP(F70,lookup!B:C,2,FALSE)</f>
        <v>Arts &amp; Science</v>
      </c>
      <c r="H70" s="90" t="s">
        <v>451</v>
      </c>
      <c r="I70" s="90" t="s">
        <v>452</v>
      </c>
      <c r="J70" s="90" t="s">
        <v>447</v>
      </c>
      <c r="K70" s="90" t="s">
        <v>364</v>
      </c>
      <c r="L70" s="90" t="s">
        <v>155</v>
      </c>
      <c r="M70" s="103">
        <v>19440</v>
      </c>
      <c r="N70" s="104">
        <v>19440</v>
      </c>
      <c r="O70" s="104">
        <v>19440</v>
      </c>
      <c r="P70" s="104">
        <v>19440</v>
      </c>
      <c r="Q70" s="104">
        <v>16524</v>
      </c>
      <c r="R70" s="252"/>
      <c r="S70" s="105">
        <v>0</v>
      </c>
      <c r="T70" s="111">
        <v>0</v>
      </c>
      <c r="U70" s="143">
        <f>'21071'!H9</f>
        <v>19440</v>
      </c>
      <c r="V70" s="187">
        <v>0</v>
      </c>
      <c r="W70" s="187" t="s">
        <v>213</v>
      </c>
      <c r="X70" s="277" t="str">
        <f t="shared" si="2"/>
        <v>TBD</v>
      </c>
      <c r="Y70" s="90" t="s">
        <v>642</v>
      </c>
      <c r="Z70" s="207">
        <f>VLOOKUP(C70,'Summary_by FY'!$C$1:$C$996,1,FALSE)</f>
        <v>21071</v>
      </c>
    </row>
    <row r="71" spans="1:26" s="89" customFormat="1" x14ac:dyDescent="0.4">
      <c r="A71" s="92">
        <f t="shared" si="3"/>
        <v>68</v>
      </c>
      <c r="B71" s="266" t="s">
        <v>213</v>
      </c>
      <c r="C71" s="90">
        <v>21072</v>
      </c>
      <c r="D71" s="90"/>
      <c r="E71" s="90"/>
      <c r="F71" s="90" t="s">
        <v>10</v>
      </c>
      <c r="G71" s="91" t="str">
        <f>VLOOKUP(F71,lookup!B:C,2,FALSE)</f>
        <v>Arts &amp; Science</v>
      </c>
      <c r="H71" s="90" t="s">
        <v>570</v>
      </c>
      <c r="I71" s="90" t="s">
        <v>571</v>
      </c>
      <c r="J71" s="90" t="s">
        <v>459</v>
      </c>
      <c r="K71" s="90" t="s">
        <v>176</v>
      </c>
      <c r="L71" s="90" t="s">
        <v>155</v>
      </c>
      <c r="M71" s="103">
        <v>10000</v>
      </c>
      <c r="N71" s="104">
        <v>0</v>
      </c>
      <c r="O71" s="104">
        <v>0</v>
      </c>
      <c r="P71" s="104">
        <v>0</v>
      </c>
      <c r="Q71" s="104">
        <v>0</v>
      </c>
      <c r="R71" s="252"/>
      <c r="S71" s="105"/>
      <c r="T71" s="111"/>
      <c r="U71" s="143"/>
      <c r="V71" s="187">
        <v>0</v>
      </c>
      <c r="W71" s="187">
        <v>0</v>
      </c>
      <c r="X71" s="277">
        <f t="shared" si="2"/>
        <v>0</v>
      </c>
      <c r="Y71" s="90" t="s">
        <v>581</v>
      </c>
      <c r="Z71" s="207">
        <f>VLOOKUP(C71,'Summary_by FY'!$C$1:$C$996,1,FALSE)</f>
        <v>21072</v>
      </c>
    </row>
    <row r="72" spans="1:26" s="89" customFormat="1" x14ac:dyDescent="0.4">
      <c r="A72" s="92">
        <f t="shared" si="3"/>
        <v>69</v>
      </c>
      <c r="B72" s="266" t="s">
        <v>213</v>
      </c>
      <c r="C72" s="90">
        <v>21073</v>
      </c>
      <c r="D72" s="90"/>
      <c r="E72" s="90"/>
      <c r="F72" s="90" t="s">
        <v>10</v>
      </c>
      <c r="G72" s="91" t="str">
        <f>VLOOKUP(F72,lookup!B:C,2,FALSE)</f>
        <v>Arts &amp; Science</v>
      </c>
      <c r="H72" s="90" t="s">
        <v>377</v>
      </c>
      <c r="I72" s="90" t="s">
        <v>572</v>
      </c>
      <c r="J72" s="90" t="s">
        <v>459</v>
      </c>
      <c r="K72" s="90" t="s">
        <v>176</v>
      </c>
      <c r="L72" s="90" t="s">
        <v>155</v>
      </c>
      <c r="M72" s="103">
        <v>10000</v>
      </c>
      <c r="N72" s="104">
        <v>0</v>
      </c>
      <c r="O72" s="104">
        <v>0</v>
      </c>
      <c r="P72" s="104">
        <v>0</v>
      </c>
      <c r="Q72" s="104">
        <v>0</v>
      </c>
      <c r="R72" s="252"/>
      <c r="S72" s="105"/>
      <c r="T72" s="111"/>
      <c r="U72" s="143"/>
      <c r="V72" s="187">
        <v>0</v>
      </c>
      <c r="W72" s="187">
        <v>0</v>
      </c>
      <c r="X72" s="277">
        <f t="shared" si="2"/>
        <v>0</v>
      </c>
      <c r="Y72" s="90" t="s">
        <v>582</v>
      </c>
      <c r="Z72" s="207">
        <f>VLOOKUP(C72,'Summary_by FY'!$C$1:$C$996,1,FALSE)</f>
        <v>21073</v>
      </c>
    </row>
    <row r="73" spans="1:26" s="89" customFormat="1" x14ac:dyDescent="0.4">
      <c r="A73" s="92">
        <f t="shared" si="3"/>
        <v>70</v>
      </c>
      <c r="B73" s="266" t="s">
        <v>213</v>
      </c>
      <c r="C73" s="90">
        <v>21074</v>
      </c>
      <c r="D73" s="90"/>
      <c r="E73" s="90"/>
      <c r="F73" s="90" t="s">
        <v>19</v>
      </c>
      <c r="G73" s="91" t="str">
        <f>VLOOKUP(F73,lookup!B:C,2,FALSE)</f>
        <v>Law</v>
      </c>
      <c r="H73" s="90" t="s">
        <v>268</v>
      </c>
      <c r="I73" s="90" t="s">
        <v>573</v>
      </c>
      <c r="J73" s="90" t="s">
        <v>459</v>
      </c>
      <c r="K73" s="90" t="s">
        <v>176</v>
      </c>
      <c r="L73" s="90" t="s">
        <v>155</v>
      </c>
      <c r="M73" s="103">
        <v>10000</v>
      </c>
      <c r="N73" s="104">
        <v>0</v>
      </c>
      <c r="O73" s="104">
        <v>0</v>
      </c>
      <c r="P73" s="104">
        <v>0</v>
      </c>
      <c r="Q73" s="104">
        <v>0</v>
      </c>
      <c r="R73" s="252"/>
      <c r="S73" s="105"/>
      <c r="T73" s="111"/>
      <c r="U73" s="143"/>
      <c r="V73" s="187">
        <v>0</v>
      </c>
      <c r="W73" s="187">
        <v>0</v>
      </c>
      <c r="X73" s="277">
        <f t="shared" si="2"/>
        <v>0</v>
      </c>
      <c r="Y73" s="90" t="s">
        <v>583</v>
      </c>
      <c r="Z73" s="207">
        <f>VLOOKUP(C73,'Summary_by FY'!$C$1:$C$996,1,FALSE)</f>
        <v>21074</v>
      </c>
    </row>
    <row r="74" spans="1:26" s="89" customFormat="1" x14ac:dyDescent="0.4">
      <c r="A74" s="92">
        <f t="shared" si="3"/>
        <v>71</v>
      </c>
      <c r="B74" s="266" t="s">
        <v>90</v>
      </c>
      <c r="C74" s="176">
        <v>21094</v>
      </c>
      <c r="D74" s="90"/>
      <c r="E74" s="90"/>
      <c r="F74" s="90" t="s">
        <v>19</v>
      </c>
      <c r="G74" s="91" t="str">
        <f>VLOOKUP(F74,lookup!B:C,2,FALSE)</f>
        <v>Law</v>
      </c>
      <c r="H74" s="90" t="s">
        <v>329</v>
      </c>
      <c r="I74" s="90" t="s">
        <v>453</v>
      </c>
      <c r="J74" s="90" t="s">
        <v>447</v>
      </c>
      <c r="K74" s="90" t="s">
        <v>101</v>
      </c>
      <c r="L74" s="90" t="s">
        <v>155</v>
      </c>
      <c r="M74" s="103">
        <v>87500</v>
      </c>
      <c r="N74" s="104">
        <v>87500</v>
      </c>
      <c r="O74" s="104">
        <v>48640</v>
      </c>
      <c r="P74" s="104">
        <v>48640</v>
      </c>
      <c r="Q74" s="104">
        <v>0</v>
      </c>
      <c r="R74" s="252"/>
      <c r="S74" s="105">
        <v>0</v>
      </c>
      <c r="T74" s="111">
        <v>0</v>
      </c>
      <c r="U74" s="143">
        <f>'21094'!H9</f>
        <v>87500</v>
      </c>
      <c r="V74" s="187">
        <v>0</v>
      </c>
      <c r="W74" s="187" t="s">
        <v>213</v>
      </c>
      <c r="X74" s="277" t="str">
        <f>IF(W74="TBD","TBD",V74+W74)</f>
        <v>TBD</v>
      </c>
      <c r="Y74" s="90" t="s">
        <v>645</v>
      </c>
      <c r="Z74" s="207">
        <f>VLOOKUP(C74,'Summary_by FY'!$C$1:$C$996,1,FALSE)</f>
        <v>21094</v>
      </c>
    </row>
    <row r="75" spans="1:26" s="200" customFormat="1" hidden="1" outlineLevel="1" x14ac:dyDescent="0.4">
      <c r="A75" s="189">
        <f t="shared" si="3"/>
        <v>72</v>
      </c>
      <c r="B75" s="267" t="s">
        <v>90</v>
      </c>
      <c r="C75" s="201">
        <v>21108</v>
      </c>
      <c r="D75" s="190"/>
      <c r="E75" s="190"/>
      <c r="F75" s="190" t="s">
        <v>175</v>
      </c>
      <c r="G75" s="192" t="str">
        <f>VLOOKUP(F75,lookup!B:C,2,FALSE)</f>
        <v>Nursing</v>
      </c>
      <c r="H75" s="190" t="s">
        <v>162</v>
      </c>
      <c r="I75" s="190" t="s">
        <v>454</v>
      </c>
      <c r="J75" s="190" t="s">
        <v>458</v>
      </c>
      <c r="K75" s="190" t="s">
        <v>305</v>
      </c>
      <c r="L75" s="190" t="s">
        <v>155</v>
      </c>
      <c r="M75" s="193">
        <v>5000</v>
      </c>
      <c r="N75" s="194">
        <v>5000</v>
      </c>
      <c r="O75" s="194">
        <v>5000</v>
      </c>
      <c r="P75" s="194">
        <v>5000</v>
      </c>
      <c r="Q75" s="194">
        <v>5000</v>
      </c>
      <c r="R75" s="253"/>
      <c r="S75" s="195">
        <v>0</v>
      </c>
      <c r="T75" s="196">
        <v>0</v>
      </c>
      <c r="U75" s="197">
        <f>'21108'!H9</f>
        <v>5000</v>
      </c>
      <c r="V75" s="198">
        <v>0</v>
      </c>
      <c r="W75" s="198">
        <v>0</v>
      </c>
      <c r="X75" s="277">
        <f t="shared" si="2"/>
        <v>0</v>
      </c>
      <c r="Y75" s="190" t="s">
        <v>472</v>
      </c>
      <c r="Z75" s="251">
        <f>VLOOKUP(C75,'Summary_by FY'!$C$1:$C$996,1,FALSE)</f>
        <v>21108</v>
      </c>
    </row>
    <row r="76" spans="1:26" s="89" customFormat="1" collapsed="1" x14ac:dyDescent="0.4">
      <c r="A76" s="92">
        <f t="shared" si="3"/>
        <v>73</v>
      </c>
      <c r="B76" s="266" t="s">
        <v>213</v>
      </c>
      <c r="C76" s="90">
        <v>21113</v>
      </c>
      <c r="D76" s="90"/>
      <c r="E76" s="90"/>
      <c r="F76" s="90" t="s">
        <v>15</v>
      </c>
      <c r="G76" s="91" t="str">
        <f>VLOOKUP(F76,lookup!B:C,2,FALSE)</f>
        <v>Engineering</v>
      </c>
      <c r="H76" s="90" t="s">
        <v>146</v>
      </c>
      <c r="I76" s="90" t="s">
        <v>455</v>
      </c>
      <c r="J76" s="90" t="s">
        <v>447</v>
      </c>
      <c r="K76" s="90" t="s">
        <v>221</v>
      </c>
      <c r="L76" s="90" t="s">
        <v>313</v>
      </c>
      <c r="M76" s="103">
        <v>85000</v>
      </c>
      <c r="N76" s="104">
        <v>82125</v>
      </c>
      <c r="O76" s="104">
        <v>0</v>
      </c>
      <c r="P76" s="104">
        <v>61963.839999999997</v>
      </c>
      <c r="Q76" s="104">
        <v>0</v>
      </c>
      <c r="R76" s="252"/>
      <c r="S76" s="105">
        <v>0</v>
      </c>
      <c r="T76" s="111">
        <v>0</v>
      </c>
      <c r="U76" s="143">
        <f>'21113'!H9</f>
        <v>82125</v>
      </c>
      <c r="V76" s="187">
        <v>0</v>
      </c>
      <c r="W76" s="187" t="s">
        <v>213</v>
      </c>
      <c r="X76" s="277" t="str">
        <f t="shared" si="2"/>
        <v>TBD</v>
      </c>
      <c r="Y76" s="90" t="s">
        <v>646</v>
      </c>
      <c r="Z76" s="207">
        <f>VLOOKUP(C76,'Summary_by FY'!$C$1:$C$996,1,FALSE)</f>
        <v>21113</v>
      </c>
    </row>
    <row r="77" spans="1:26" s="89" customFormat="1" x14ac:dyDescent="0.4">
      <c r="A77" s="92">
        <f t="shared" si="3"/>
        <v>74</v>
      </c>
      <c r="B77" s="266" t="s">
        <v>90</v>
      </c>
      <c r="C77" s="176">
        <v>21114</v>
      </c>
      <c r="D77" s="90"/>
      <c r="E77" s="90"/>
      <c r="F77" s="90" t="s">
        <v>21</v>
      </c>
      <c r="G77" s="91" t="str">
        <f>VLOOKUP(F77,lookup!B:C,2,FALSE)</f>
        <v>SOM Basic Sciences</v>
      </c>
      <c r="H77" s="90" t="s">
        <v>146</v>
      </c>
      <c r="I77" s="90" t="s">
        <v>456</v>
      </c>
      <c r="J77" s="90" t="s">
        <v>447</v>
      </c>
      <c r="K77" s="90" t="s">
        <v>101</v>
      </c>
      <c r="L77" s="90" t="s">
        <v>313</v>
      </c>
      <c r="M77" s="103">
        <v>70000</v>
      </c>
      <c r="N77" s="104">
        <v>68452</v>
      </c>
      <c r="O77" s="104">
        <v>48352</v>
      </c>
      <c r="P77" s="104">
        <v>48352</v>
      </c>
      <c r="Q77" s="104">
        <v>0</v>
      </c>
      <c r="R77" s="252"/>
      <c r="S77" s="105">
        <v>0</v>
      </c>
      <c r="T77" s="111">
        <v>0</v>
      </c>
      <c r="U77" s="143">
        <f>'21114'!H9</f>
        <v>68452</v>
      </c>
      <c r="V77" s="187">
        <v>0</v>
      </c>
      <c r="W77" s="187" t="s">
        <v>213</v>
      </c>
      <c r="X77" s="277" t="str">
        <f t="shared" si="2"/>
        <v>TBD</v>
      </c>
      <c r="Y77" s="90" t="s">
        <v>647</v>
      </c>
      <c r="Z77" s="207">
        <f>VLOOKUP(C77,'Summary_by FY'!$C$1:$C$996,1,FALSE)</f>
        <v>21114</v>
      </c>
    </row>
    <row r="78" spans="1:26" s="89" customFormat="1" x14ac:dyDescent="0.4">
      <c r="A78" s="92">
        <f t="shared" si="3"/>
        <v>75</v>
      </c>
      <c r="B78" s="266" t="s">
        <v>89</v>
      </c>
      <c r="C78" s="176">
        <v>21127</v>
      </c>
      <c r="D78" s="90"/>
      <c r="E78" s="90" t="s">
        <v>601</v>
      </c>
      <c r="F78" s="90" t="s">
        <v>21</v>
      </c>
      <c r="G78" s="91" t="str">
        <f>VLOOKUP(F78,lookup!B:C,2,FALSE)</f>
        <v>SOM Basic Sciences</v>
      </c>
      <c r="H78" s="90" t="s">
        <v>146</v>
      </c>
      <c r="I78" s="90" t="s">
        <v>466</v>
      </c>
      <c r="J78" s="90" t="s">
        <v>447</v>
      </c>
      <c r="K78" s="90" t="s">
        <v>176</v>
      </c>
      <c r="L78" s="90" t="s">
        <v>313</v>
      </c>
      <c r="M78" s="103">
        <v>450000</v>
      </c>
      <c r="N78" s="104">
        <v>449020</v>
      </c>
      <c r="O78" s="104">
        <v>348882</v>
      </c>
      <c r="P78" s="104">
        <v>348882</v>
      </c>
      <c r="Q78" s="104">
        <v>0</v>
      </c>
      <c r="R78" s="252"/>
      <c r="S78" s="105">
        <v>0</v>
      </c>
      <c r="T78" s="111">
        <v>0</v>
      </c>
      <c r="U78" s="143">
        <v>0</v>
      </c>
      <c r="V78" s="187">
        <f>'21127'!H9</f>
        <v>449020</v>
      </c>
      <c r="W78" s="187">
        <v>0</v>
      </c>
      <c r="X78" s="277">
        <f t="shared" si="2"/>
        <v>449020</v>
      </c>
      <c r="Y78" s="90" t="s">
        <v>648</v>
      </c>
      <c r="Z78" s="207">
        <f>VLOOKUP(C78,'Summary_by FY'!$C$1:$C$996,1,FALSE)</f>
        <v>21127</v>
      </c>
    </row>
    <row r="79" spans="1:26" s="89" customFormat="1" x14ac:dyDescent="0.4">
      <c r="A79" s="92">
        <f t="shared" si="3"/>
        <v>76</v>
      </c>
      <c r="B79" s="266" t="s">
        <v>213</v>
      </c>
      <c r="C79" s="176">
        <v>21155</v>
      </c>
      <c r="D79" s="90">
        <v>904</v>
      </c>
      <c r="E79" s="90"/>
      <c r="F79" s="90" t="s">
        <v>10</v>
      </c>
      <c r="G79" s="91" t="str">
        <f>VLOOKUP(F79,lookup!B:C,2,FALSE)</f>
        <v>Arts &amp; Science</v>
      </c>
      <c r="H79" s="90" t="s">
        <v>445</v>
      </c>
      <c r="I79" s="90" t="s">
        <v>606</v>
      </c>
      <c r="J79" s="90" t="s">
        <v>447</v>
      </c>
      <c r="K79" s="90" t="s">
        <v>256</v>
      </c>
      <c r="L79" s="90" t="s">
        <v>607</v>
      </c>
      <c r="M79" s="103"/>
      <c r="N79" s="104">
        <v>0</v>
      </c>
      <c r="O79" s="104">
        <v>0</v>
      </c>
      <c r="P79" s="104">
        <v>0</v>
      </c>
      <c r="Q79" s="104">
        <v>0</v>
      </c>
      <c r="R79" s="252"/>
      <c r="S79" s="105"/>
      <c r="T79" s="111"/>
      <c r="U79" s="143"/>
      <c r="V79" s="187"/>
      <c r="W79" s="187">
        <v>750000</v>
      </c>
      <c r="X79" s="277"/>
      <c r="Y79" s="90" t="s">
        <v>650</v>
      </c>
      <c r="Z79" s="207">
        <f>VLOOKUP(C79,'Summary_by FY'!$C$1:$C$996,1,FALSE)</f>
        <v>21155</v>
      </c>
    </row>
    <row r="80" spans="1:26" s="89" customFormat="1" x14ac:dyDescent="0.4">
      <c r="A80" s="92">
        <f t="shared" si="3"/>
        <v>77</v>
      </c>
      <c r="B80" s="266" t="s">
        <v>89</v>
      </c>
      <c r="C80" s="90">
        <v>21156</v>
      </c>
      <c r="D80" s="90"/>
      <c r="E80" s="90" t="s">
        <v>600</v>
      </c>
      <c r="F80" s="90" t="s">
        <v>15</v>
      </c>
      <c r="G80" s="91" t="str">
        <f>VLOOKUP(F80,lookup!B:C,2,FALSE)</f>
        <v>Engineering</v>
      </c>
      <c r="H80" s="90" t="s">
        <v>449</v>
      </c>
      <c r="I80" s="90" t="s">
        <v>574</v>
      </c>
      <c r="J80" s="90" t="s">
        <v>447</v>
      </c>
      <c r="K80" s="90" t="s">
        <v>101</v>
      </c>
      <c r="L80" s="90" t="s">
        <v>612</v>
      </c>
      <c r="M80" s="103">
        <v>500000</v>
      </c>
      <c r="N80" s="104">
        <v>386000</v>
      </c>
      <c r="O80" s="104">
        <v>0</v>
      </c>
      <c r="P80" s="104">
        <v>352551.19</v>
      </c>
      <c r="Q80" s="104">
        <v>0</v>
      </c>
      <c r="R80" s="252"/>
      <c r="S80" s="105"/>
      <c r="T80" s="111"/>
      <c r="U80" s="143"/>
      <c r="V80" s="187">
        <v>0</v>
      </c>
      <c r="W80" s="187">
        <v>340000</v>
      </c>
      <c r="X80" s="277">
        <f t="shared" si="2"/>
        <v>340000</v>
      </c>
      <c r="Y80" s="90" t="s">
        <v>649</v>
      </c>
      <c r="Z80" s="207">
        <f>VLOOKUP(C80,'Summary_by FY'!$C$1:$C$996,1,FALSE)</f>
        <v>21156</v>
      </c>
    </row>
    <row r="81" spans="1:26" s="89" customFormat="1" x14ac:dyDescent="0.4">
      <c r="A81" s="92">
        <f t="shared" si="3"/>
        <v>78</v>
      </c>
      <c r="B81" s="266" t="s">
        <v>213</v>
      </c>
      <c r="C81" s="90">
        <v>21165</v>
      </c>
      <c r="D81" s="90"/>
      <c r="E81" s="90"/>
      <c r="F81" s="90" t="s">
        <v>28</v>
      </c>
      <c r="G81" s="91" t="str">
        <f>VLOOKUP(F81,lookup!B:C,2,FALSE)</f>
        <v>Peabody</v>
      </c>
      <c r="H81" s="90" t="s">
        <v>159</v>
      </c>
      <c r="I81" s="90" t="s">
        <v>608</v>
      </c>
      <c r="J81" s="90" t="s">
        <v>447</v>
      </c>
      <c r="K81" s="90" t="s">
        <v>364</v>
      </c>
      <c r="L81" s="90" t="s">
        <v>253</v>
      </c>
      <c r="M81" s="103">
        <v>0</v>
      </c>
      <c r="N81" s="104">
        <v>0</v>
      </c>
      <c r="O81" s="104">
        <v>0</v>
      </c>
      <c r="P81" s="104">
        <v>0</v>
      </c>
      <c r="Q81" s="104">
        <v>0</v>
      </c>
      <c r="R81" s="252"/>
      <c r="S81" s="105"/>
      <c r="T81" s="111"/>
      <c r="U81" s="143"/>
      <c r="V81" s="187">
        <v>0</v>
      </c>
      <c r="W81" s="187" t="s">
        <v>213</v>
      </c>
      <c r="X81" s="277"/>
      <c r="Y81" s="90" t="s">
        <v>650</v>
      </c>
      <c r="Z81" s="207">
        <f>VLOOKUP(C81,'Summary_by FY'!$C$1:$C$996,1,FALSE)</f>
        <v>21165</v>
      </c>
    </row>
    <row r="82" spans="1:26" s="89" customFormat="1" x14ac:dyDescent="0.4">
      <c r="A82" s="92">
        <f t="shared" si="3"/>
        <v>79</v>
      </c>
      <c r="B82" s="266" t="s">
        <v>89</v>
      </c>
      <c r="C82" s="90">
        <v>21171</v>
      </c>
      <c r="D82" s="90"/>
      <c r="E82" s="90"/>
      <c r="F82" s="90" t="s">
        <v>12</v>
      </c>
      <c r="G82" s="91" t="str">
        <f>VLOOKUP(F82,lookup!B:C,2,FALSE)</f>
        <v>Blair</v>
      </c>
      <c r="H82" s="90" t="s">
        <v>149</v>
      </c>
      <c r="I82" s="90" t="s">
        <v>613</v>
      </c>
      <c r="J82" s="90" t="s">
        <v>447</v>
      </c>
      <c r="K82" s="90" t="s">
        <v>256</v>
      </c>
      <c r="L82" s="90" t="s">
        <v>148</v>
      </c>
      <c r="M82" s="103">
        <v>0</v>
      </c>
      <c r="N82" s="104">
        <v>0</v>
      </c>
      <c r="O82" s="104">
        <v>0</v>
      </c>
      <c r="P82" s="104">
        <v>0</v>
      </c>
      <c r="Q82" s="104">
        <v>0</v>
      </c>
      <c r="R82" s="252"/>
      <c r="S82" s="105"/>
      <c r="T82" s="111"/>
      <c r="U82" s="143"/>
      <c r="V82" s="187">
        <v>0</v>
      </c>
      <c r="W82" s="187" t="s">
        <v>213</v>
      </c>
      <c r="X82" s="277"/>
      <c r="Y82" s="90" t="s">
        <v>650</v>
      </c>
      <c r="Z82" s="207">
        <f>VLOOKUP(C82,'Summary_by FY'!$C$1:$C$996,1,FALSE)</f>
        <v>21171</v>
      </c>
    </row>
    <row r="83" spans="1:26" s="89" customFormat="1" x14ac:dyDescent="0.4">
      <c r="A83" s="92">
        <f t="shared" si="3"/>
        <v>80</v>
      </c>
      <c r="B83" s="266" t="s">
        <v>89</v>
      </c>
      <c r="C83" s="90">
        <v>21172</v>
      </c>
      <c r="D83" s="90"/>
      <c r="E83" s="90"/>
      <c r="F83" s="90" t="s">
        <v>12</v>
      </c>
      <c r="G83" s="91" t="str">
        <f>VLOOKUP(F83,lookup!B:C,2,FALSE)</f>
        <v>Blair</v>
      </c>
      <c r="H83" s="90" t="s">
        <v>149</v>
      </c>
      <c r="I83" s="90" t="s">
        <v>614</v>
      </c>
      <c r="J83" s="90" t="s">
        <v>447</v>
      </c>
      <c r="K83" s="90" t="s">
        <v>256</v>
      </c>
      <c r="L83" s="90" t="s">
        <v>148</v>
      </c>
      <c r="M83" s="103">
        <v>0</v>
      </c>
      <c r="N83" s="104">
        <v>0</v>
      </c>
      <c r="O83" s="104">
        <v>0</v>
      </c>
      <c r="P83" s="104">
        <v>0</v>
      </c>
      <c r="Q83" s="104">
        <v>0</v>
      </c>
      <c r="R83" s="252"/>
      <c r="S83" s="105"/>
      <c r="T83" s="111"/>
      <c r="U83" s="143"/>
      <c r="V83" s="187">
        <v>0</v>
      </c>
      <c r="W83" s="187" t="s">
        <v>213</v>
      </c>
      <c r="X83" s="277"/>
      <c r="Y83" s="90" t="s">
        <v>650</v>
      </c>
      <c r="Z83" s="207">
        <f>VLOOKUP(C83,'Summary_by FY'!$C$1:$C$996,1,FALSE)</f>
        <v>21172</v>
      </c>
    </row>
    <row r="84" spans="1:26" s="89" customFormat="1" x14ac:dyDescent="0.4">
      <c r="A84" s="92">
        <f t="shared" si="3"/>
        <v>81</v>
      </c>
      <c r="B84" s="266" t="s">
        <v>89</v>
      </c>
      <c r="C84" s="90">
        <v>21173</v>
      </c>
      <c r="D84" s="90"/>
      <c r="E84" s="90"/>
      <c r="F84" s="90" t="s">
        <v>15</v>
      </c>
      <c r="G84" s="91" t="str">
        <f>VLOOKUP(F84,lookup!B:C,2,FALSE)</f>
        <v>Engineering</v>
      </c>
      <c r="H84" s="90" t="s">
        <v>615</v>
      </c>
      <c r="I84" s="90" t="s">
        <v>616</v>
      </c>
      <c r="J84" s="90" t="s">
        <v>447</v>
      </c>
      <c r="K84" s="90" t="s">
        <v>256</v>
      </c>
      <c r="L84" s="90" t="s">
        <v>148</v>
      </c>
      <c r="M84" s="103">
        <v>0</v>
      </c>
      <c r="N84" s="104">
        <v>0</v>
      </c>
      <c r="O84" s="104">
        <v>0</v>
      </c>
      <c r="P84" s="104">
        <v>0</v>
      </c>
      <c r="Q84" s="104">
        <v>0</v>
      </c>
      <c r="R84" s="252"/>
      <c r="S84" s="105"/>
      <c r="T84" s="111"/>
      <c r="U84" s="143"/>
      <c r="V84" s="187">
        <v>0</v>
      </c>
      <c r="W84" s="187" t="s">
        <v>213</v>
      </c>
      <c r="X84" s="277"/>
      <c r="Y84" s="90" t="s">
        <v>650</v>
      </c>
      <c r="Z84" s="207">
        <f>VLOOKUP(C84,'Summary_by FY'!$C$1:$C$996,1,FALSE)</f>
        <v>21173</v>
      </c>
    </row>
    <row r="85" spans="1:26" s="89" customFormat="1" x14ac:dyDescent="0.4">
      <c r="A85" s="92">
        <f t="shared" si="3"/>
        <v>82</v>
      </c>
      <c r="B85" s="266" t="s">
        <v>213</v>
      </c>
      <c r="C85" s="90">
        <v>21174</v>
      </c>
      <c r="D85" s="90"/>
      <c r="E85" s="90"/>
      <c r="F85" s="90" t="s">
        <v>428</v>
      </c>
      <c r="G85" s="91" t="str">
        <f>VLOOKUP(F85,lookup!B:C,2,FALSE)</f>
        <v>Arts &amp; Science</v>
      </c>
      <c r="H85" s="90" t="s">
        <v>251</v>
      </c>
      <c r="I85" s="90" t="s">
        <v>617</v>
      </c>
      <c r="J85" s="90" t="s">
        <v>447</v>
      </c>
      <c r="K85" s="90" t="s">
        <v>256</v>
      </c>
      <c r="L85" s="90" t="s">
        <v>253</v>
      </c>
      <c r="M85" s="103">
        <v>0</v>
      </c>
      <c r="N85" s="104">
        <v>0</v>
      </c>
      <c r="O85" s="104">
        <v>0</v>
      </c>
      <c r="P85" s="104">
        <v>0</v>
      </c>
      <c r="Q85" s="104">
        <v>0</v>
      </c>
      <c r="R85" s="252"/>
      <c r="S85" s="105"/>
      <c r="T85" s="111"/>
      <c r="U85" s="143"/>
      <c r="V85" s="187">
        <v>0</v>
      </c>
      <c r="W85" s="187" t="s">
        <v>213</v>
      </c>
      <c r="X85" s="277"/>
      <c r="Y85" s="90" t="s">
        <v>650</v>
      </c>
      <c r="Z85" s="207">
        <f>VLOOKUP(C85,'Summary_by FY'!$C$1:$C$996,1,FALSE)</f>
        <v>21174</v>
      </c>
    </row>
    <row r="86" spans="1:26" s="89" customFormat="1" x14ac:dyDescent="0.4">
      <c r="A86" s="92">
        <f t="shared" si="3"/>
        <v>83</v>
      </c>
      <c r="B86" s="266" t="s">
        <v>213</v>
      </c>
      <c r="C86" s="90">
        <v>21175</v>
      </c>
      <c r="D86" s="90"/>
      <c r="E86" s="90"/>
      <c r="F86" s="90" t="s">
        <v>428</v>
      </c>
      <c r="G86" s="91" t="str">
        <f>VLOOKUP(F86,lookup!B:C,2,FALSE)</f>
        <v>Arts &amp; Science</v>
      </c>
      <c r="H86" s="90" t="s">
        <v>268</v>
      </c>
      <c r="I86" s="90" t="s">
        <v>618</v>
      </c>
      <c r="J86" s="90" t="s">
        <v>447</v>
      </c>
      <c r="K86" s="90" t="s">
        <v>256</v>
      </c>
      <c r="L86" s="90" t="s">
        <v>148</v>
      </c>
      <c r="M86" s="103">
        <v>0</v>
      </c>
      <c r="N86" s="104">
        <v>0</v>
      </c>
      <c r="O86" s="104">
        <v>0</v>
      </c>
      <c r="P86" s="104">
        <v>0</v>
      </c>
      <c r="Q86" s="104">
        <v>0</v>
      </c>
      <c r="R86" s="252"/>
      <c r="S86" s="105"/>
      <c r="T86" s="111"/>
      <c r="U86" s="143"/>
      <c r="V86" s="187">
        <v>0</v>
      </c>
      <c r="W86" s="187" t="s">
        <v>213</v>
      </c>
      <c r="X86" s="277"/>
      <c r="Y86" s="90" t="s">
        <v>650</v>
      </c>
      <c r="Z86" s="207">
        <f>VLOOKUP(C86,'Summary_by FY'!$C$1:$C$996,1,FALSE)</f>
        <v>21175</v>
      </c>
    </row>
    <row r="87" spans="1:26" s="89" customFormat="1" x14ac:dyDescent="0.4">
      <c r="A87" s="92">
        <f t="shared" si="3"/>
        <v>84</v>
      </c>
      <c r="B87" s="266" t="s">
        <v>213</v>
      </c>
      <c r="C87" s="90">
        <v>21176</v>
      </c>
      <c r="D87" s="90"/>
      <c r="E87" s="90"/>
      <c r="F87" s="90" t="s">
        <v>153</v>
      </c>
      <c r="G87" s="91" t="str">
        <f>VLOOKUP(F87,lookup!B:C,2,FALSE)</f>
        <v>Law</v>
      </c>
      <c r="H87" s="90" t="s">
        <v>268</v>
      </c>
      <c r="I87" s="90" t="s">
        <v>619</v>
      </c>
      <c r="J87" s="90" t="s">
        <v>447</v>
      </c>
      <c r="K87" s="90" t="s">
        <v>364</v>
      </c>
      <c r="L87" s="90" t="s">
        <v>607</v>
      </c>
      <c r="M87" s="103">
        <v>0</v>
      </c>
      <c r="N87" s="104">
        <v>0</v>
      </c>
      <c r="O87" s="104">
        <v>0</v>
      </c>
      <c r="P87" s="104">
        <v>0</v>
      </c>
      <c r="Q87" s="104">
        <v>0</v>
      </c>
      <c r="R87" s="252"/>
      <c r="S87" s="105"/>
      <c r="T87" s="111"/>
      <c r="U87" s="143"/>
      <c r="V87" s="187">
        <v>0</v>
      </c>
      <c r="W87" s="187" t="s">
        <v>213</v>
      </c>
      <c r="X87" s="277"/>
      <c r="Y87" s="90" t="s">
        <v>650</v>
      </c>
      <c r="Z87" s="207">
        <f>VLOOKUP(C87,'Summary_by FY'!$C$1:$C$996,1,FALSE)</f>
        <v>21176</v>
      </c>
    </row>
    <row r="88" spans="1:26" s="89" customFormat="1" x14ac:dyDescent="0.4">
      <c r="A88" s="92">
        <f t="shared" si="3"/>
        <v>85</v>
      </c>
      <c r="B88" s="266" t="s">
        <v>213</v>
      </c>
      <c r="C88" s="90">
        <v>21177</v>
      </c>
      <c r="D88" s="90"/>
      <c r="E88" s="90"/>
      <c r="F88" s="90" t="s">
        <v>10</v>
      </c>
      <c r="G88" s="91" t="str">
        <f>VLOOKUP(F88,lookup!B:C,2,FALSE)</f>
        <v>Arts &amp; Science</v>
      </c>
      <c r="H88" s="90" t="s">
        <v>445</v>
      </c>
      <c r="I88" s="90" t="s">
        <v>620</v>
      </c>
      <c r="J88" s="90" t="s">
        <v>447</v>
      </c>
      <c r="K88" s="90" t="s">
        <v>256</v>
      </c>
      <c r="L88" s="90" t="s">
        <v>607</v>
      </c>
      <c r="M88" s="103">
        <v>0</v>
      </c>
      <c r="N88" s="104">
        <v>0</v>
      </c>
      <c r="O88" s="104">
        <v>0</v>
      </c>
      <c r="P88" s="104">
        <v>0</v>
      </c>
      <c r="Q88" s="104">
        <v>0</v>
      </c>
      <c r="R88" s="252"/>
      <c r="S88" s="105"/>
      <c r="T88" s="111"/>
      <c r="U88" s="143"/>
      <c r="V88" s="187">
        <v>0</v>
      </c>
      <c r="W88" s="187" t="s">
        <v>213</v>
      </c>
      <c r="X88" s="277"/>
      <c r="Y88" s="90" t="s">
        <v>650</v>
      </c>
      <c r="Z88" s="207">
        <f>VLOOKUP(C88,'Summary_by FY'!$C$1:$C$996,1,FALSE)</f>
        <v>21177</v>
      </c>
    </row>
    <row r="89" spans="1:26" s="89" customFormat="1" x14ac:dyDescent="0.4">
      <c r="A89" s="92">
        <f t="shared" si="3"/>
        <v>86</v>
      </c>
      <c r="B89" s="266" t="s">
        <v>213</v>
      </c>
      <c r="C89" s="90">
        <v>21178</v>
      </c>
      <c r="D89" s="90"/>
      <c r="E89" s="90"/>
      <c r="F89" s="90" t="s">
        <v>10</v>
      </c>
      <c r="G89" s="91" t="str">
        <f>VLOOKUP(F89,lookup!B:C,2,FALSE)</f>
        <v>Arts &amp; Science</v>
      </c>
      <c r="H89" s="90" t="s">
        <v>203</v>
      </c>
      <c r="I89" s="90" t="s">
        <v>621</v>
      </c>
      <c r="J89" s="90" t="s">
        <v>447</v>
      </c>
      <c r="K89" s="90" t="s">
        <v>256</v>
      </c>
      <c r="L89" s="90" t="s">
        <v>607</v>
      </c>
      <c r="M89" s="103">
        <v>0</v>
      </c>
      <c r="N89" s="104">
        <v>0</v>
      </c>
      <c r="O89" s="104">
        <v>0</v>
      </c>
      <c r="P89" s="104">
        <v>0</v>
      </c>
      <c r="Q89" s="104">
        <v>0</v>
      </c>
      <c r="R89" s="252"/>
      <c r="S89" s="105"/>
      <c r="T89" s="111"/>
      <c r="U89" s="143"/>
      <c r="V89" s="187">
        <v>0</v>
      </c>
      <c r="W89" s="187" t="s">
        <v>213</v>
      </c>
      <c r="X89" s="277"/>
      <c r="Y89" s="90" t="s">
        <v>650</v>
      </c>
      <c r="Z89" s="207">
        <f>VLOOKUP(C89,'Summary_by FY'!$C$1:$C$996,1,FALSE)</f>
        <v>21178</v>
      </c>
    </row>
    <row r="90" spans="1:26" s="89" customFormat="1" x14ac:dyDescent="0.4">
      <c r="A90" s="92">
        <f t="shared" si="3"/>
        <v>87</v>
      </c>
      <c r="B90" s="266" t="s">
        <v>213</v>
      </c>
      <c r="C90" s="90">
        <v>21189</v>
      </c>
      <c r="D90" s="90"/>
      <c r="E90" s="90"/>
      <c r="F90" s="90" t="s">
        <v>12</v>
      </c>
      <c r="G90" s="91" t="str">
        <f>VLOOKUP(F90,lookup!B:C,2,FALSE)</f>
        <v>Blair</v>
      </c>
      <c r="H90" s="90" t="s">
        <v>149</v>
      </c>
      <c r="I90" s="90" t="s">
        <v>622</v>
      </c>
      <c r="J90" s="90" t="s">
        <v>447</v>
      </c>
      <c r="K90" s="90" t="s">
        <v>256</v>
      </c>
      <c r="L90" s="90" t="s">
        <v>148</v>
      </c>
      <c r="M90" s="103">
        <v>0</v>
      </c>
      <c r="N90" s="104">
        <v>0</v>
      </c>
      <c r="O90" s="104">
        <v>0</v>
      </c>
      <c r="P90" s="104">
        <v>0</v>
      </c>
      <c r="Q90" s="104">
        <v>0</v>
      </c>
      <c r="R90" s="252"/>
      <c r="S90" s="105"/>
      <c r="T90" s="111"/>
      <c r="U90" s="143"/>
      <c r="V90" s="187">
        <v>0</v>
      </c>
      <c r="W90" s="187" t="s">
        <v>213</v>
      </c>
      <c r="X90" s="277"/>
      <c r="Y90" s="90" t="s">
        <v>650</v>
      </c>
      <c r="Z90" s="207">
        <f>VLOOKUP(C90,'Summary_by FY'!$C$1:$C$996,1,FALSE)</f>
        <v>21189</v>
      </c>
    </row>
    <row r="91" spans="1:26" ht="15" thickBot="1" x14ac:dyDescent="0.45">
      <c r="B91" s="81"/>
      <c r="C91" s="81"/>
      <c r="D91" s="82"/>
      <c r="E91" s="81"/>
      <c r="F91" s="81"/>
      <c r="G91" s="93"/>
      <c r="H91" s="81"/>
      <c r="I91" s="81"/>
      <c r="J91" s="81"/>
      <c r="K91" s="81"/>
      <c r="L91" s="81"/>
      <c r="M91" s="106">
        <f>SUM(M4:M90)</f>
        <v>49462033.759999998</v>
      </c>
      <c r="N91" s="107">
        <f>SUM(N4:N90)</f>
        <v>40385928.639999986</v>
      </c>
      <c r="O91" s="107">
        <f>SUM(O4:O90)</f>
        <v>31899879.790000007</v>
      </c>
      <c r="P91" s="107">
        <f t="shared" ref="P91" si="4">SUM(P4:P90)</f>
        <v>36631356.180000007</v>
      </c>
      <c r="Q91" s="107">
        <f t="shared" ref="Q91:X91" si="5">SUM(Q4:Q90)</f>
        <v>26824613.410000004</v>
      </c>
      <c r="R91" s="254">
        <f t="shared" si="5"/>
        <v>907774.99</v>
      </c>
      <c r="S91" s="108">
        <f t="shared" si="5"/>
        <v>8797286.2599999998</v>
      </c>
      <c r="T91" s="112">
        <f t="shared" si="5"/>
        <v>11427472.939999999</v>
      </c>
      <c r="U91" s="144">
        <f t="shared" si="5"/>
        <v>10171078.440000001</v>
      </c>
      <c r="V91" s="188">
        <f t="shared" si="5"/>
        <v>4311408.1400000006</v>
      </c>
      <c r="W91" s="188">
        <f t="shared" si="5"/>
        <v>5290000</v>
      </c>
      <c r="X91" s="278">
        <f t="shared" si="5"/>
        <v>8851408.1400000006</v>
      </c>
      <c r="Y91" s="81"/>
    </row>
    <row r="92" spans="1:26" x14ac:dyDescent="0.4">
      <c r="S92" s="109" t="b">
        <f>S91='JE LOG_FY23'!C21</f>
        <v>1</v>
      </c>
      <c r="T92" s="109" t="b">
        <f>T91='JE LOG_FY24'!C21</f>
        <v>1</v>
      </c>
      <c r="U92" s="109" t="b">
        <f>U91='JE LOG_FY25'!C21</f>
        <v>1</v>
      </c>
      <c r="V92" s="109" t="b">
        <f>V91='JE LOG_FY26'!C21</f>
        <v>1</v>
      </c>
    </row>
    <row r="93" spans="1:26" x14ac:dyDescent="0.4">
      <c r="I93" s="87"/>
      <c r="J93" s="87"/>
      <c r="S93" s="109" t="b">
        <f>S91='Summary_for Web-2'!G93</f>
        <v>1</v>
      </c>
      <c r="T93" s="109" t="b">
        <f>T91='Summary_for Web-2'!H93</f>
        <v>1</v>
      </c>
      <c r="U93" s="109" t="b">
        <f>U91='Summary_for Web-2'!I93</f>
        <v>1</v>
      </c>
      <c r="X93" s="109" t="b">
        <f>X91='Summary_for Web-2'!J93</f>
        <v>0</v>
      </c>
    </row>
    <row r="94" spans="1:26" x14ac:dyDescent="0.4">
      <c r="I94" s="87" t="s">
        <v>219</v>
      </c>
      <c r="J94" s="211"/>
    </row>
    <row r="95" spans="1:26" x14ac:dyDescent="0.4">
      <c r="A95" s="74"/>
      <c r="I95" s="211"/>
      <c r="J95" s="211"/>
      <c r="M95" s="134"/>
      <c r="N95" s="134"/>
      <c r="O95" s="134"/>
      <c r="P95" s="134"/>
      <c r="Q95" s="134"/>
    </row>
    <row r="96" spans="1:26" x14ac:dyDescent="0.4">
      <c r="I96" s="211"/>
      <c r="J96" s="211"/>
      <c r="N96" s="134"/>
      <c r="O96" s="134"/>
      <c r="P96" s="134"/>
      <c r="Q96" s="134"/>
    </row>
    <row r="97" spans="9:17" x14ac:dyDescent="0.4">
      <c r="I97" s="211"/>
      <c r="K97" s="94"/>
      <c r="N97" s="134"/>
      <c r="O97" s="134"/>
      <c r="P97" s="134"/>
      <c r="Q97" s="134"/>
    </row>
    <row r="98" spans="9:17" x14ac:dyDescent="0.4">
      <c r="I98" s="211"/>
      <c r="J98" s="211"/>
      <c r="K98" s="94"/>
      <c r="N98" s="134"/>
      <c r="O98" s="134"/>
      <c r="P98" s="134"/>
      <c r="Q98" s="134"/>
    </row>
    <row r="99" spans="9:17" x14ac:dyDescent="0.4">
      <c r="I99" s="211"/>
      <c r="M99" s="134"/>
      <c r="N99" s="134"/>
      <c r="O99" s="134"/>
      <c r="P99" s="134"/>
      <c r="Q99" s="134"/>
    </row>
    <row r="100" spans="9:17" x14ac:dyDescent="0.4">
      <c r="N100" s="134"/>
      <c r="O100" s="134"/>
      <c r="P100" s="134"/>
      <c r="Q100" s="134"/>
    </row>
    <row r="102" spans="9:17" x14ac:dyDescent="0.4">
      <c r="J102" s="87"/>
    </row>
    <row r="103" spans="9:17" x14ac:dyDescent="0.4">
      <c r="J103" s="211"/>
    </row>
    <row r="104" spans="9:17" x14ac:dyDescent="0.4">
      <c r="I104" s="211"/>
      <c r="J104" s="211"/>
    </row>
    <row r="105" spans="9:17" x14ac:dyDescent="0.4">
      <c r="I105" s="211"/>
      <c r="J105" s="211"/>
    </row>
    <row r="106" spans="9:17" x14ac:dyDescent="0.4">
      <c r="I106" s="211"/>
      <c r="J106" s="211"/>
    </row>
    <row r="108" spans="9:17" x14ac:dyDescent="0.4">
      <c r="I108" s="145"/>
      <c r="J108" s="145"/>
    </row>
    <row r="109" spans="9:17" x14ac:dyDescent="0.4">
      <c r="I109" s="145"/>
      <c r="J109" s="145"/>
    </row>
  </sheetData>
  <sortState xmlns:xlrd2="http://schemas.microsoft.com/office/spreadsheetml/2017/richdata2" ref="A4:Y24">
    <sortCondition ref="C4:C24"/>
    <sortCondition ref="K4:K24"/>
    <sortCondition descending="1" ref="M4:M24"/>
  </sortState>
  <phoneticPr fontId="5" type="noConversion"/>
  <conditionalFormatting sqref="K1:K1048576">
    <cfRule type="cellIs" dxfId="2" priority="1" operator="equal">
      <formula>"Warranty or Construction Closeout"</formula>
    </cfRule>
    <cfRule type="cellIs" dxfId="1" priority="2" operator="equal">
      <formula>"Financial Closeout"</formula>
    </cfRule>
  </conditionalFormatting>
  <conditionalFormatting sqref="R1:R1048576">
    <cfRule type="cellIs" dxfId="0" priority="3" operator="equal">
      <formula>"Warranty or Construction Closeout"</formula>
    </cfRule>
  </conditionalFormatting>
  <hyperlinks>
    <hyperlink ref="S1" location="'JE LOG_FY23'!A1" display="'JE LOG_FY23'!A1" xr:uid="{4AA5BFBA-BD76-4E23-903B-8F8B27E7CF98}"/>
    <hyperlink ref="T1" location="'JE LOG_FY24'!A1" display="'JE LOG_FY24'!A1" xr:uid="{99AF6BF7-AF06-41DE-9239-729475E55066}"/>
    <hyperlink ref="U1" location="'JE LOG_FY25'!A1" display="'JE LOG_FY25'!A1" xr:uid="{27F88C9C-3592-4973-933C-DA84C39B9FC4}"/>
    <hyperlink ref="V1" location="'JE LOG_FY26'!A1" display="'JE LOG_FY26'!A1" xr:uid="{161DE2CC-E676-4CA6-ACBB-6E52C96F4AA9}"/>
    <hyperlink ref="C78" location="'21127'!A1" display="'21127'!A1" xr:uid="{7D45B884-3F7B-4AA7-89EE-CE73D5763C86}"/>
    <hyperlink ref="C55" location="'20962'!A1" display="'20962'!A1" xr:uid="{BE5F856B-008D-4000-8068-6123FA77AA69}"/>
    <hyperlink ref="C52" location="'20940'!A1" display="'20940'!A1" xr:uid="{EE3676D0-B4DA-4B0D-B3D5-01778F90130E}"/>
    <hyperlink ref="C38" location="'20812'!A1" display="'20812'!A1" xr:uid="{5B2A3E53-2DE2-4F62-83A6-BCC62B092A70}"/>
    <hyperlink ref="C35" location="'20772'!A1" display="'20772'!A1" xr:uid="{E2146988-DDA0-4939-858D-0493332D8520}"/>
    <hyperlink ref="C48" location="'20922'!A1" display="'20922'!A1" xr:uid="{DACB93FE-E026-4492-95D4-62A4A7CDE4DF}"/>
    <hyperlink ref="C54" location="'20958'!A1" display="'20958'!A1" xr:uid="{7B8690CD-3C8D-4AA0-8DE4-3A8CD98E28D3}"/>
    <hyperlink ref="C43" location="'20884'!A1" display="'20884'!A1" xr:uid="{84FFE6CA-FEF8-4412-ACD3-EB98AD761E47}"/>
    <hyperlink ref="C37" location="'20811'!A1" display="'20811'!A1" xr:uid="{71BFB999-E30C-4639-A445-E958EE984BA3}"/>
    <hyperlink ref="C49" location="'20924'!A1" display="'20924'!A1" xr:uid="{4345F7B7-0073-4263-8BD0-B4D0390BEFB2}"/>
    <hyperlink ref="C51" location="'20936'!A1" display="'20936'!A1" xr:uid="{9C2BA3B2-64F9-4080-B767-E34AD0224F9B}"/>
    <hyperlink ref="C53" location="'20945'!A1" display="'20945'!A1" xr:uid="{CB0E891E-3E02-4299-95D4-124C099A482C}"/>
    <hyperlink ref="C33" location="'20767'!A1" display="'20767'!A1" xr:uid="{75388F17-E384-4428-8BFF-D4C156449535}"/>
    <hyperlink ref="C44" location="'20885'!A1" display="'20885'!A1" xr:uid="{C23E2461-412D-46B9-8764-3533EF3FFF30}"/>
    <hyperlink ref="C47" location="'20913'!A1" display="'20913'!A1" xr:uid="{495AC23D-8D67-4BBC-9782-C5F54726F3F8}"/>
    <hyperlink ref="C46" location="'20912'!A1" display="'20912'!A1" xr:uid="{51B82CFE-DB43-4221-B61A-F79AB22CDF20}"/>
    <hyperlink ref="C45" location="'20911'!A1" display="'20911'!A1" xr:uid="{5A7847D4-8EB2-4850-AAFA-711670B2EB33}"/>
    <hyperlink ref="C42" location="'20857'!A1" display="'20857'!A1" xr:uid="{4F373CCB-5B9B-496C-80AB-3C3313143CC6}"/>
    <hyperlink ref="C39" location="'20831'!A1" display="'20831'!A1" xr:uid="{B4100B18-B071-4D4E-B0B0-FC25FA5C0356}"/>
    <hyperlink ref="C40" location="'20832'!A1" display="'20832'!A1" xr:uid="{558B6E4F-42AF-4C1D-A848-552C93D37A2B}"/>
    <hyperlink ref="C41" location="'20833'!A1" display="'20833'!A1" xr:uid="{D660A35B-E5FA-4306-B284-C599161FF1B9}"/>
    <hyperlink ref="C34" location="'20771'!A1" display="'20771'!A1" xr:uid="{9CCE891A-4EAE-45F0-97BC-86E45CF5D430}"/>
    <hyperlink ref="C36" location="'20792'!A1" display="'20792'!A1" xr:uid="{97B25019-50BA-4723-B61B-4F5C13979F91}"/>
    <hyperlink ref="C32" location="'20735'!A1" display="'20735'!A1" xr:uid="{281D51F0-83F8-4122-802A-733DE5411652}"/>
    <hyperlink ref="C31" location="'20724'!A1" display="'20724'!A1" xr:uid="{B28A8F17-F6BC-4BCC-9062-12EB54161B68}"/>
    <hyperlink ref="C30" location="'20723'!A1" display="'20723'!A1" xr:uid="{E58F18E4-8CE2-43E5-8E13-6E4EA658536A}"/>
    <hyperlink ref="C29" location="'20718'!A1" display="'20718'!A1" xr:uid="{18ADD449-2D9B-458A-9F77-6CF3FFB38953}"/>
    <hyperlink ref="C28" location="'20702'!A1" display="'20702'!A1" xr:uid="{95ABA0AF-84D5-44F1-9DE8-F420044682C0}"/>
    <hyperlink ref="C27" location="'20701'!A1" display="'20701'!A1" xr:uid="{522EC4C6-1BB6-426D-9A22-93A808432E75}"/>
    <hyperlink ref="C26" location="'20700'!A1" display="'20700'!A1" xr:uid="{9B9974FF-2668-4A8D-8324-DB31439E834C}"/>
    <hyperlink ref="C25" location="'20698'!A1" display="'20698'!A1" xr:uid="{2C14D74A-7E9A-4498-9A54-2F16479FB91A}"/>
    <hyperlink ref="C24" location="'20668'!A1" display="'20668'!A1" xr:uid="{71996D7E-F482-4DA2-96F5-C382FB8E6C8A}"/>
    <hyperlink ref="C23" location="'20667'!A1" display="'20667'!A1" xr:uid="{B0EFA3A9-F118-4010-BC9B-FFB850AE03D3}"/>
    <hyperlink ref="C22" location="'20645'!A1" display="'20645'!A1" xr:uid="{5C077A91-6F5B-4609-96DB-D5862E31195D}"/>
    <hyperlink ref="C21" location="'20644'!A1" display="'20644'!A1" xr:uid="{56D90246-5045-4E6D-920C-C9EB79BA1867}"/>
    <hyperlink ref="C20" location="'20577'!A1" display="'20577'!A1" xr:uid="{E4E03EDC-1D85-495A-996F-28BDA1FE2D95}"/>
    <hyperlink ref="C19" location="'20574'!A1" display="'20574'!A1" xr:uid="{3F58BF7F-74EA-40E1-A2D9-B0788A4CAA56}"/>
    <hyperlink ref="C18" location="'20573'!A1" display="'20573'!A1" xr:uid="{7DC91A01-1BD7-4CBA-80B9-1CB0017E903C}"/>
    <hyperlink ref="C17" location="'20566'!A1" display="'20566'!A1" xr:uid="{65FBC9C7-BEE8-4170-8DEC-6BD53C5DB8F2}"/>
    <hyperlink ref="C15" location="'20562'!A1" display="'20562'!A1" xr:uid="{F63E76B8-75D7-495E-B439-FA9B60CEC18B}"/>
    <hyperlink ref="C13" location="'20506'!A1" display="'20506'!A1" xr:uid="{B96F768D-31D9-4A7D-B477-3010B4993724}"/>
    <hyperlink ref="C12" location="'20497'!A1" display="'20497'!A1" xr:uid="{A285E0E7-E54C-46AC-8F3E-DBB506498D71}"/>
    <hyperlink ref="C11" location="'20489'!A1" display="'20489'!A1" xr:uid="{9D7230F2-BDBE-41B1-B203-593A2F245F0A}"/>
    <hyperlink ref="C10" location="'20478'!A1" display="'20478'!A1" xr:uid="{C7EF4184-FED0-4DED-8D60-3EF1EE199007}"/>
    <hyperlink ref="C9" location="'20431'!A1" display="'20431'!A1" xr:uid="{07FBEB51-1B05-4E73-A12A-C27287215C2B}"/>
    <hyperlink ref="C8" location="'20336'!A1" display="'20336'!A1" xr:uid="{2DC0FA85-9BAB-4AC1-ABDC-23DF9A3A008E}"/>
    <hyperlink ref="C50" location="'20925'!A1" display="'20925'!A1" xr:uid="{4F815D40-5348-406D-89A6-A9494D4C84F7}"/>
    <hyperlink ref="C56" location="'20979'!A1" display="'20979'!A1" xr:uid="{49AF7642-DFDE-48DA-ADC6-81CFADA86593}"/>
    <hyperlink ref="C64" location="'21035'!A1" display="'21035'!A1" xr:uid="{F01D44F9-A855-41ED-A8C4-1108C6B5EE0F}"/>
    <hyperlink ref="C77" location="'21114'!A1" display="'21114'!A1" xr:uid="{A3CF568F-7A41-4EEE-93EC-21C0EC7C94EF}"/>
    <hyperlink ref="C57" location="'20982'!A1" display="'20982'!A1" xr:uid="{2C0D124B-7CDE-4C8A-B688-7DDE35A20234}"/>
    <hyperlink ref="C58" location="'20984'!A1" display="'20984'!A1" xr:uid="{4FE55E87-CD0F-4AE8-85DA-E42C935DC626}"/>
    <hyperlink ref="C59" location="'21004'!A1" display="'21004'!A1" xr:uid="{39EC9F03-2100-4A68-B3A0-F1D90D52DF54}"/>
    <hyperlink ref="C75" location="'21108'!A1" display="'21108'!A1" xr:uid="{BE645DE1-86E6-4C85-81DA-A18E19B7246E}"/>
    <hyperlink ref="C67" location="'21067'!A1" display="'21067'!A1" xr:uid="{B8709B91-BAF1-4F55-ADDE-8E7A8D758358}"/>
    <hyperlink ref="C68" location="'21068'!A1" display="'21068'!A1" xr:uid="{555A5378-E0D1-4879-B250-002C11FA8095}"/>
    <hyperlink ref="C63" location="'21010'!A1" display="'21010'!A1" xr:uid="{867A0B3E-0952-46D1-8872-8976870DB5E2}"/>
    <hyperlink ref="C74" location="'21094'!A1" display="'21094'!A1" xr:uid="{5FD398A0-B01C-40E4-9BCE-A9F3885480E6}"/>
    <hyperlink ref="C70" location="'21071'!A1" display="'21071'!A1" xr:uid="{BEE51AAB-95CB-4218-BEF6-7C5B9FA5B0AA}"/>
    <hyperlink ref="C66" location="'21066'!A1" display="'21066'!A1" xr:uid="{A5B96C13-E47D-4833-8B69-FACF3A861477}"/>
    <hyperlink ref="C69" location="'21070'!A1" display="'21070'!A1" xr:uid="{C51361B1-7531-4369-868B-004477124E67}"/>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s>
  <pageMargins left="0.7" right="0.7" top="0.75" bottom="0.75" header="0.3" footer="0.3"/>
  <pageSetup orientation="portrait" r:id="rId1"/>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920F-A456-41D6-9FAC-10700619817D}">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21094</v>
      </c>
      <c r="B4" s="11">
        <f>VLOOKUP(A4,'Project Status'!C:D,2,FALSE)</f>
        <v>0</v>
      </c>
      <c r="C4" s="11">
        <f>VLOOKUP(A4,'Project Status'!C:E,3,FALSE)</f>
        <v>0</v>
      </c>
      <c r="D4" s="11" t="str">
        <f>VLOOKUP(A4,'Project Status'!C:F,4,FALSE)</f>
        <v>17000 - Law: Office of the Dean</v>
      </c>
      <c r="E4" s="11" t="str">
        <f>VLOOKUP(A4,'Project Status'!C:I,7,FALSE)</f>
        <v>Godchaux Hall - Replace Fire Pump</v>
      </c>
      <c r="F4" s="11" t="str">
        <f>VLOOKUP(A4,'Project Status'!C:K,9,FALSE)</f>
        <v>Construction</v>
      </c>
      <c r="G4" s="11" t="str">
        <f>VLOOKUP(A4,'Project Status'!C:L,10,FALSE)</f>
        <v>Sean Rewers</v>
      </c>
      <c r="H4" s="88">
        <f>VLOOKUP(A4,'Project Status'!C:N,12,FALSE)</f>
        <v>87500</v>
      </c>
      <c r="I4" s="172">
        <f>VLOOKUP(A4,'Project Status'!C:Q,15,FALSE)</f>
        <v>0</v>
      </c>
    </row>
    <row r="8" spans="1:11" x14ac:dyDescent="0.4">
      <c r="E8" s="40" t="s">
        <v>123</v>
      </c>
    </row>
    <row r="9" spans="1:11" x14ac:dyDescent="0.4">
      <c r="E9" s="21" t="s">
        <v>465</v>
      </c>
      <c r="F9" t="s">
        <v>138</v>
      </c>
      <c r="H9" s="41">
        <v>87500</v>
      </c>
    </row>
    <row r="12" spans="1:11" x14ac:dyDescent="0.4">
      <c r="F12" s="10"/>
      <c r="G12" s="10"/>
      <c r="H12" s="44"/>
    </row>
    <row r="18" spans="5:8" x14ac:dyDescent="0.4">
      <c r="E18" s="135" t="s">
        <v>260</v>
      </c>
      <c r="F18" s="136"/>
      <c r="G18" s="135"/>
      <c r="H18" s="137">
        <f>SUM(H9:H17)</f>
        <v>87500</v>
      </c>
    </row>
    <row r="20" spans="5:8" x14ac:dyDescent="0.4">
      <c r="E20" s="138" t="s">
        <v>135</v>
      </c>
      <c r="F20" s="138"/>
      <c r="G20" s="138"/>
      <c r="H20" s="139">
        <f>H4-H18</f>
        <v>0</v>
      </c>
    </row>
  </sheetData>
  <hyperlinks>
    <hyperlink ref="K1" location="'Project Status'!A1" display="'Project Status'!A1" xr:uid="{CB19AE4F-ECFC-44BA-9562-87F53966222D}"/>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1ADF-94AD-44B0-A9C5-74998E3EC6B1}">
  <sheetPr>
    <tabColor theme="1"/>
  </sheetPr>
  <dimension ref="A1:K20"/>
  <sheetViews>
    <sheetView zoomScale="90" zoomScaleNormal="90" workbookViewId="0"/>
  </sheetViews>
  <sheetFormatPr defaultRowHeight="14.6" x14ac:dyDescent="0.4"/>
  <cols>
    <col min="1" max="1" width="8.53515625" bestFit="1" customWidth="1"/>
    <col min="2" max="2" width="4.69140625" bestFit="1" customWidth="1"/>
    <col min="3" max="3" width="6.69140625" bestFit="1" customWidth="1"/>
    <col min="4" max="4" width="36.07421875" bestFit="1" customWidth="1"/>
    <col min="5" max="5" width="41.69140625" bestFit="1" customWidth="1"/>
    <col min="6" max="6" width="17.53515625" bestFit="1" customWidth="1"/>
    <col min="7" max="7" width="12.3046875" bestFit="1" customWidth="1"/>
    <col min="8" max="8" width="16.53515625" bestFit="1" customWidth="1"/>
    <col min="9" max="9" width="11.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21108</v>
      </c>
      <c r="B4" s="11">
        <f>VLOOKUP(A4,'Project Status'!C:D,2,FALSE)</f>
        <v>0</v>
      </c>
      <c r="C4" s="11">
        <f>VLOOKUP(A4,'Project Status'!C:E,3,FALSE)</f>
        <v>0</v>
      </c>
      <c r="D4" s="11" t="str">
        <f>VLOOKUP(A4,'Project Status'!C:F,4,FALSE)</f>
        <v>19100 - Nursing: Business Affairs</v>
      </c>
      <c r="E4" s="11" t="str">
        <f>VLOOKUP(A4,'Project Status'!C:I,7,FALSE)</f>
        <v>1025 16th Avenue - Electrical and HVAC Study</v>
      </c>
      <c r="F4" s="11" t="str">
        <f>VLOOKUP(A4,'Project Status'!C:K,9,FALSE)</f>
        <v>Finalized</v>
      </c>
      <c r="G4" s="11" t="str">
        <f>VLOOKUP(A4,'Project Status'!C:L,10,FALSE)</f>
        <v>Sean Rewers</v>
      </c>
      <c r="H4" s="88">
        <f>VLOOKUP(A4,'Project Status'!C:N,12,FALSE)</f>
        <v>5000</v>
      </c>
      <c r="I4" s="172">
        <f>VLOOKUP(A4,'Project Status'!C:Q,15,FALSE)</f>
        <v>5000</v>
      </c>
    </row>
    <row r="8" spans="1:11" x14ac:dyDescent="0.4">
      <c r="E8" s="40" t="s">
        <v>123</v>
      </c>
    </row>
    <row r="9" spans="1:11" x14ac:dyDescent="0.4">
      <c r="E9" s="21" t="s">
        <v>465</v>
      </c>
      <c r="F9" t="s">
        <v>138</v>
      </c>
      <c r="H9" s="41">
        <v>5000</v>
      </c>
    </row>
    <row r="10" spans="1:11" x14ac:dyDescent="0.4">
      <c r="E10" s="21"/>
      <c r="H10" s="41"/>
    </row>
    <row r="12" spans="1:11" x14ac:dyDescent="0.4">
      <c r="F12" s="10"/>
      <c r="G12" s="10"/>
      <c r="H12" s="44"/>
    </row>
    <row r="18" spans="5:8" x14ac:dyDescent="0.4">
      <c r="E18" s="135" t="s">
        <v>260</v>
      </c>
      <c r="F18" s="136"/>
      <c r="G18" s="135"/>
      <c r="H18" s="137">
        <f>SUM(H9:H17)</f>
        <v>5000</v>
      </c>
    </row>
    <row r="20" spans="5:8" x14ac:dyDescent="0.4">
      <c r="E20" s="138" t="s">
        <v>135</v>
      </c>
      <c r="F20" s="138"/>
      <c r="G20" s="138"/>
      <c r="H20" s="139">
        <f>H4-H18</f>
        <v>0</v>
      </c>
    </row>
  </sheetData>
  <hyperlinks>
    <hyperlink ref="K1" location="'Project Status'!A1" display="'Project Status'!A1" xr:uid="{BEA218D8-DF69-48B2-BAA2-770FD5553C07}"/>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F48F-E11E-490F-85FD-21DD0E41B3C3}">
  <sheetPr>
    <tabColor theme="4"/>
  </sheetPr>
  <dimension ref="A1:K20"/>
  <sheetViews>
    <sheetView zoomScale="90" zoomScaleNormal="90" workbookViewId="0">
      <selection activeCell="D92" sqref="D92"/>
    </sheetView>
  </sheetViews>
  <sheetFormatPr defaultRowHeight="14.6" x14ac:dyDescent="0.4"/>
  <cols>
    <col min="1" max="1" width="8.53515625" bestFit="1" customWidth="1"/>
    <col min="2" max="2" width="4.69140625" bestFit="1" customWidth="1"/>
    <col min="3" max="3" width="6.69140625" bestFit="1" customWidth="1"/>
    <col min="4" max="4" width="38.3046875" bestFit="1" customWidth="1"/>
    <col min="5" max="5" width="41" bestFit="1" customWidth="1"/>
    <col min="6" max="6" width="7.69140625" bestFit="1" customWidth="1"/>
    <col min="7" max="7" width="14.07421875" bestFit="1" customWidth="1"/>
    <col min="8" max="8" width="16.53515625" bestFit="1" customWidth="1"/>
    <col min="9" max="9" width="10.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21113</v>
      </c>
      <c r="B4" s="11">
        <f>VLOOKUP(A4,'Project Status'!C:D,2,FALSE)</f>
        <v>0</v>
      </c>
      <c r="C4" s="11">
        <f>VLOOKUP(A4,'Project Status'!C:E,3,FALSE)</f>
        <v>0</v>
      </c>
      <c r="D4" s="11" t="str">
        <f>VLOOKUP(A4,'Project Status'!C:F,4,FALSE)</f>
        <v>15000 - Engineering: Office of the Dean</v>
      </c>
      <c r="E4" s="11" t="str">
        <f>VLOOKUP(A4,'Project Status'!C:I,7,FALSE)</f>
        <v>MRBIII - Lecture Hall V1220 Lighting Upgrade</v>
      </c>
      <c r="F4" s="11" t="str">
        <f>VLOOKUP(A4,'Project Status'!C:K,9,FALSE)</f>
        <v>Bidding</v>
      </c>
      <c r="G4" s="11" t="str">
        <f>VLOOKUP(A4,'Project Status'!C:L,10,FALSE)</f>
        <v>Jay Surprenant</v>
      </c>
      <c r="H4" s="88">
        <f>VLOOKUP(A4,'Project Status'!C:N,12,FALSE)</f>
        <v>82125</v>
      </c>
      <c r="I4" s="172">
        <f>VLOOKUP(A4,'Project Status'!C:Q,15,FALSE)</f>
        <v>0</v>
      </c>
    </row>
    <row r="8" spans="1:11" x14ac:dyDescent="0.4">
      <c r="E8" s="40" t="s">
        <v>123</v>
      </c>
    </row>
    <row r="9" spans="1:11" x14ac:dyDescent="0.4">
      <c r="E9" s="21" t="s">
        <v>569</v>
      </c>
      <c r="F9" t="s">
        <v>138</v>
      </c>
      <c r="H9" s="41">
        <v>82125</v>
      </c>
    </row>
    <row r="10" spans="1:11" x14ac:dyDescent="0.4">
      <c r="E10" s="21"/>
      <c r="H10" s="41"/>
    </row>
    <row r="12" spans="1:11" x14ac:dyDescent="0.4">
      <c r="F12" s="10"/>
      <c r="G12" s="10"/>
      <c r="H12" s="44"/>
    </row>
    <row r="18" spans="5:8" x14ac:dyDescent="0.4">
      <c r="E18" s="135" t="s">
        <v>260</v>
      </c>
      <c r="F18" s="136"/>
      <c r="G18" s="135"/>
      <c r="H18" s="137">
        <f>SUM(H9:H17)</f>
        <v>82125</v>
      </c>
    </row>
    <row r="20" spans="5:8" x14ac:dyDescent="0.4">
      <c r="E20" s="138" t="s">
        <v>135</v>
      </c>
      <c r="F20" s="138"/>
      <c r="G20" s="138"/>
      <c r="H20" s="139">
        <f>H4-H18</f>
        <v>0</v>
      </c>
    </row>
  </sheetData>
  <hyperlinks>
    <hyperlink ref="K1" location="'Project Status'!A1" display="'Project Status'!A1" xr:uid="{81DEBFE9-3C05-4B30-86B3-6DA48C69E5C6}"/>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D7054-1BCD-4DA5-9A7C-F1A98482E973}">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3046875" bestFit="1" customWidth="1"/>
    <col min="5" max="5" width="41.84375" bestFit="1" customWidth="1"/>
    <col min="6" max="6" width="7.3046875" bestFit="1" customWidth="1"/>
    <col min="7" max="7" width="13.5351562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21114</v>
      </c>
      <c r="B4" s="11">
        <f>VLOOKUP(A4,'Project Status'!C:D,2,FALSE)</f>
        <v>0</v>
      </c>
      <c r="C4" s="11">
        <f>VLOOKUP(A4,'Project Status'!C:E,3,FALSE)</f>
        <v>0</v>
      </c>
      <c r="D4" s="11" t="str">
        <f>VLOOKUP(A4,'Project Status'!C:F,4,FALSE)</f>
        <v>18200 - Basic Sciences: Office of the Dean</v>
      </c>
      <c r="E4" s="11" t="str">
        <f>VLOOKUP(A4,'Project Status'!C:I,7,FALSE)</f>
        <v>MRBIII - Chemical Discharge Tank Replacement</v>
      </c>
      <c r="F4" s="11" t="str">
        <f>VLOOKUP(A4,'Project Status'!C:K,9,FALSE)</f>
        <v>Construction</v>
      </c>
      <c r="G4" s="11" t="str">
        <f>VLOOKUP(A4,'Project Status'!C:L,10,FALSE)</f>
        <v>Jay Surprenant</v>
      </c>
      <c r="H4" s="88">
        <f>VLOOKUP(A4,'Project Status'!C:N,12,FALSE)</f>
        <v>68452</v>
      </c>
      <c r="I4" s="172">
        <f>VLOOKUP(A4,'Project Status'!C:Q,15,FALSE)</f>
        <v>0</v>
      </c>
    </row>
    <row r="8" spans="1:11" x14ac:dyDescent="0.4">
      <c r="E8" s="40" t="s">
        <v>123</v>
      </c>
    </row>
    <row r="9" spans="1:11" x14ac:dyDescent="0.4">
      <c r="E9" t="s">
        <v>473</v>
      </c>
      <c r="F9" t="s">
        <v>138</v>
      </c>
      <c r="H9" s="41">
        <v>68452</v>
      </c>
    </row>
    <row r="10" spans="1:11" x14ac:dyDescent="0.4">
      <c r="E10" s="21"/>
      <c r="H10" s="41"/>
    </row>
    <row r="12" spans="1:11" x14ac:dyDescent="0.4">
      <c r="F12" s="10"/>
      <c r="G12" s="10"/>
      <c r="H12" s="44"/>
    </row>
    <row r="18" spans="5:8" x14ac:dyDescent="0.4">
      <c r="E18" s="135" t="s">
        <v>260</v>
      </c>
      <c r="F18" s="136"/>
      <c r="G18" s="135"/>
      <c r="H18" s="137">
        <f>SUM(H9:H17)</f>
        <v>68452</v>
      </c>
    </row>
    <row r="20" spans="5:8" x14ac:dyDescent="0.4">
      <c r="E20" s="138" t="s">
        <v>135</v>
      </c>
      <c r="F20" s="138"/>
      <c r="G20" s="138"/>
      <c r="H20" s="139">
        <f>H4-H18</f>
        <v>0</v>
      </c>
    </row>
  </sheetData>
  <hyperlinks>
    <hyperlink ref="K1" location="'Project Status'!A1" display="'Project Status'!A1" xr:uid="{A49476B6-38F8-474E-8A07-33655AFD085C}"/>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E1E4-9D25-457A-84D5-EEAF952B1ED0}">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3046875" bestFit="1" customWidth="1"/>
    <col min="5" max="5" width="41.84375" bestFit="1" customWidth="1"/>
    <col min="6" max="6" width="7.3046875" bestFit="1" customWidth="1"/>
    <col min="7" max="7" width="13.5351562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21127</v>
      </c>
      <c r="B4" s="11">
        <f>VLOOKUP(A4,'Project Status'!C:D,2,FALSE)</f>
        <v>0</v>
      </c>
      <c r="C4" s="11" t="str">
        <f>VLOOKUP(A4,'Project Status'!C:E,3,FALSE)</f>
        <v>CP_400334</v>
      </c>
      <c r="D4" s="11" t="str">
        <f>VLOOKUP(A4,'Project Status'!C:F,4,FALSE)</f>
        <v>18200 - Basic Sciences: Office of the Dean</v>
      </c>
      <c r="E4" s="11" t="str">
        <f>VLOOKUP(A4,'Project Status'!C:I,7,FALSE)</f>
        <v>MRBIII - Cooling Tower Overhaul</v>
      </c>
      <c r="F4" s="11" t="str">
        <f>VLOOKUP(A4,'Project Status'!C:K,9,FALSE)</f>
        <v>Award</v>
      </c>
      <c r="G4" s="11" t="str">
        <f>VLOOKUP(A4,'Project Status'!C:L,10,FALSE)</f>
        <v>Jay Surprenant</v>
      </c>
      <c r="H4" s="88">
        <f>VLOOKUP(A4,'Project Status'!C:N,12,FALSE)</f>
        <v>449020</v>
      </c>
      <c r="I4" s="172">
        <f>VLOOKUP(A4,'Project Status'!C:Q,15,FALSE)</f>
        <v>0</v>
      </c>
    </row>
    <row r="8" spans="1:11" x14ac:dyDescent="0.4">
      <c r="E8" s="40" t="s">
        <v>123</v>
      </c>
    </row>
    <row r="9" spans="1:11" x14ac:dyDescent="0.4">
      <c r="E9" t="s">
        <v>599</v>
      </c>
      <c r="F9" t="s">
        <v>138</v>
      </c>
      <c r="H9" s="41">
        <v>449020</v>
      </c>
    </row>
    <row r="10" spans="1:11" x14ac:dyDescent="0.4">
      <c r="E10" s="21"/>
      <c r="H10" s="41"/>
    </row>
    <row r="12" spans="1:11" x14ac:dyDescent="0.4">
      <c r="F12" s="10"/>
      <c r="G12" s="10"/>
      <c r="H12" s="44"/>
    </row>
    <row r="18" spans="5:8" x14ac:dyDescent="0.4">
      <c r="E18" s="135" t="s">
        <v>260</v>
      </c>
      <c r="F18" s="136"/>
      <c r="G18" s="135"/>
      <c r="H18" s="137">
        <f>SUM(H9:H17)</f>
        <v>449020</v>
      </c>
    </row>
    <row r="20" spans="5:8" x14ac:dyDescent="0.4">
      <c r="E20" s="138" t="s">
        <v>135</v>
      </c>
      <c r="F20" s="138"/>
      <c r="G20" s="138"/>
      <c r="H20" s="139">
        <f>H4-H18</f>
        <v>0</v>
      </c>
    </row>
  </sheetData>
  <hyperlinks>
    <hyperlink ref="K1" location="'Project Status'!A1" display="'Project Status'!A1" xr:uid="{448DB76D-C7DC-45E7-A0EB-99C1A3F6D546}"/>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C24" sqref="C24"/>
    </sheetView>
  </sheetViews>
  <sheetFormatPr defaultRowHeight="14.6" x14ac:dyDescent="0.4"/>
  <cols>
    <col min="1" max="1" width="5.69140625" customWidth="1"/>
    <col min="2" max="2" width="23.3046875" bestFit="1" customWidth="1"/>
    <col min="3" max="3" width="14.3046875" style="41" bestFit="1" customWidth="1"/>
    <col min="4" max="4" width="5.69140625" customWidth="1"/>
    <col min="6" max="6" width="14.3046875" bestFit="1" customWidth="1"/>
    <col min="8" max="8" width="5.69140625" customWidth="1"/>
    <col min="20" max="20" width="9.3046875" customWidth="1"/>
  </cols>
  <sheetData>
    <row r="1" spans="1:10" x14ac:dyDescent="0.4">
      <c r="A1" s="140" t="s">
        <v>264</v>
      </c>
    </row>
    <row r="2" spans="1:10" x14ac:dyDescent="0.4">
      <c r="B2" s="45" t="s">
        <v>139</v>
      </c>
    </row>
    <row r="3" spans="1:10" x14ac:dyDescent="0.4">
      <c r="B3" t="s">
        <v>141</v>
      </c>
    </row>
    <row r="4" spans="1:10" x14ac:dyDescent="0.4">
      <c r="B4" s="46" t="s">
        <v>140</v>
      </c>
      <c r="C4" s="47">
        <f>Contributions!C15</f>
        <v>9364499</v>
      </c>
    </row>
    <row r="5" spans="1:10" x14ac:dyDescent="0.4">
      <c r="B5" s="50" t="s">
        <v>144</v>
      </c>
      <c r="C5" s="51">
        <f>SUM(C1:C4)</f>
        <v>9364499</v>
      </c>
      <c r="J5" s="21"/>
    </row>
    <row r="8" spans="1:10" x14ac:dyDescent="0.4">
      <c r="B8" t="s">
        <v>142</v>
      </c>
      <c r="F8" s="42"/>
    </row>
    <row r="9" spans="1:10" x14ac:dyDescent="0.4">
      <c r="B9" s="21" t="s">
        <v>133</v>
      </c>
      <c r="C9" s="41">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3"/>
    </row>
    <row r="10" spans="1:10" x14ac:dyDescent="0.4">
      <c r="B10" s="21" t="s">
        <v>165</v>
      </c>
      <c r="C10" s="41">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3"/>
    </row>
    <row r="11" spans="1:10" x14ac:dyDescent="0.4">
      <c r="B11" s="21" t="s">
        <v>173</v>
      </c>
      <c r="C11" s="41">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3"/>
    </row>
    <row r="12" spans="1:10" x14ac:dyDescent="0.4">
      <c r="B12" s="21" t="s">
        <v>212</v>
      </c>
      <c r="C12" s="41">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3"/>
    </row>
    <row r="13" spans="1:10" x14ac:dyDescent="0.4">
      <c r="B13" s="21" t="s">
        <v>223</v>
      </c>
      <c r="C13" s="41">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3"/>
    </row>
    <row r="14" spans="1:10" x14ac:dyDescent="0.4">
      <c r="B14" s="21" t="s">
        <v>228</v>
      </c>
      <c r="C14" s="41">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3"/>
    </row>
    <row r="15" spans="1:10" x14ac:dyDescent="0.4">
      <c r="B15" s="21" t="s">
        <v>234</v>
      </c>
      <c r="C15" s="41">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3"/>
    </row>
    <row r="16" spans="1:10" x14ac:dyDescent="0.4">
      <c r="B16" s="21" t="s">
        <v>245</v>
      </c>
      <c r="C16" s="41">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3"/>
    </row>
    <row r="17" spans="1:8" x14ac:dyDescent="0.4">
      <c r="B17" s="21" t="s">
        <v>261</v>
      </c>
      <c r="C17" s="41">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1"/>
    </row>
    <row r="18" spans="1:8" x14ac:dyDescent="0.4">
      <c r="B18" s="21" t="s">
        <v>266</v>
      </c>
      <c r="C18" s="41">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1"/>
    </row>
    <row r="19" spans="1:8" x14ac:dyDescent="0.4">
      <c r="B19" s="21" t="s">
        <v>271</v>
      </c>
      <c r="C19" s="41">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6" t="s">
        <v>295</v>
      </c>
      <c r="C20" s="47">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68"/>
      <c r="B21" s="52" t="s">
        <v>143</v>
      </c>
      <c r="C21" s="53">
        <f>SUM(C9:C20)</f>
        <v>8797286.2599999998</v>
      </c>
      <c r="D21" s="68"/>
      <c r="H21" s="68"/>
    </row>
    <row r="24" spans="1:8" x14ac:dyDescent="0.4">
      <c r="A24" s="68"/>
      <c r="B24" s="48" t="s">
        <v>135</v>
      </c>
      <c r="C24" s="49">
        <f>C5-C21</f>
        <v>567212.74000000022</v>
      </c>
      <c r="D24" s="68"/>
      <c r="H24" s="68"/>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C26" sqref="C26"/>
    </sheetView>
  </sheetViews>
  <sheetFormatPr defaultRowHeight="14.6" x14ac:dyDescent="0.4"/>
  <cols>
    <col min="1" max="1" width="5.69140625" customWidth="1"/>
    <col min="2" max="2" width="23.3046875" bestFit="1" customWidth="1"/>
    <col min="3" max="3" width="15.3046875" style="41"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40" t="s">
        <v>264</v>
      </c>
    </row>
    <row r="2" spans="1:10" x14ac:dyDescent="0.4">
      <c r="B2" s="45" t="s">
        <v>139</v>
      </c>
    </row>
    <row r="3" spans="1:10" x14ac:dyDescent="0.4">
      <c r="B3" t="s">
        <v>141</v>
      </c>
      <c r="E3" s="45"/>
    </row>
    <row r="4" spans="1:10" x14ac:dyDescent="0.4">
      <c r="B4" s="46" t="s">
        <v>303</v>
      </c>
      <c r="C4" s="47">
        <f>Contributions!G15</f>
        <v>11029283.289999999</v>
      </c>
      <c r="E4" s="21"/>
      <c r="F4" s="41"/>
    </row>
    <row r="5" spans="1:10" x14ac:dyDescent="0.4">
      <c r="B5" s="50" t="s">
        <v>144</v>
      </c>
      <c r="C5" s="51">
        <f>SUM(C1:C4)</f>
        <v>11029283.289999999</v>
      </c>
      <c r="J5" s="21"/>
    </row>
    <row r="8" spans="1:10" x14ac:dyDescent="0.4">
      <c r="B8" t="s">
        <v>142</v>
      </c>
      <c r="F8" s="42"/>
    </row>
    <row r="9" spans="1:10" x14ac:dyDescent="0.4">
      <c r="B9" s="21" t="s">
        <v>307</v>
      </c>
      <c r="C9" s="41">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3"/>
    </row>
    <row r="10" spans="1:10" x14ac:dyDescent="0.4">
      <c r="B10" s="21" t="s">
        <v>317</v>
      </c>
      <c r="C10" s="41">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3"/>
    </row>
    <row r="11" spans="1:10" x14ac:dyDescent="0.4">
      <c r="B11" s="21" t="s">
        <v>328</v>
      </c>
      <c r="C11" s="41">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3"/>
    </row>
    <row r="12" spans="1:10" x14ac:dyDescent="0.4">
      <c r="B12" s="21" t="s">
        <v>342</v>
      </c>
      <c r="C12" s="41">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3"/>
    </row>
    <row r="13" spans="1:10" x14ac:dyDescent="0.4">
      <c r="B13" s="21" t="s">
        <v>344</v>
      </c>
      <c r="C13" s="41">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3"/>
    </row>
    <row r="14" spans="1:10" x14ac:dyDescent="0.4">
      <c r="B14" s="21" t="s">
        <v>360</v>
      </c>
      <c r="C14" s="41">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3"/>
    </row>
    <row r="15" spans="1:10" x14ac:dyDescent="0.4">
      <c r="B15" s="21" t="s">
        <v>375</v>
      </c>
      <c r="C15" s="41">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3"/>
    </row>
    <row r="16" spans="1:10" x14ac:dyDescent="0.4">
      <c r="B16" s="21" t="s">
        <v>383</v>
      </c>
      <c r="C16" s="41">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3"/>
    </row>
    <row r="17" spans="1:20" x14ac:dyDescent="0.4">
      <c r="B17" s="21" t="s">
        <v>394</v>
      </c>
      <c r="C17" s="41">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1"/>
    </row>
    <row r="18" spans="1:20" x14ac:dyDescent="0.4">
      <c r="B18" s="21" t="s">
        <v>396</v>
      </c>
      <c r="C18" s="41">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1"/>
    </row>
    <row r="19" spans="1:20" x14ac:dyDescent="0.4">
      <c r="B19" s="21"/>
    </row>
    <row r="20" spans="1:20" x14ac:dyDescent="0.4">
      <c r="B20" s="46"/>
      <c r="C20" s="47"/>
    </row>
    <row r="21" spans="1:20" x14ac:dyDescent="0.4">
      <c r="A21" s="68"/>
      <c r="B21" s="52" t="s">
        <v>143</v>
      </c>
      <c r="C21" s="53">
        <f>SUM(C9:C20)</f>
        <v>11427472.939999999</v>
      </c>
      <c r="D21" s="68"/>
      <c r="H21" s="68"/>
    </row>
    <row r="23" spans="1:20" x14ac:dyDescent="0.4">
      <c r="B23" s="21" t="s">
        <v>309</v>
      </c>
      <c r="C23" s="41">
        <f>'JE LOG_FY23'!C24</f>
        <v>567212.74000000022</v>
      </c>
    </row>
    <row r="24" spans="1:20" x14ac:dyDescent="0.4">
      <c r="B24" s="21" t="s">
        <v>310</v>
      </c>
      <c r="C24" s="41">
        <f>F4</f>
        <v>0</v>
      </c>
    </row>
    <row r="26" spans="1:20" x14ac:dyDescent="0.4">
      <c r="A26" s="68"/>
      <c r="B26" s="48" t="s">
        <v>135</v>
      </c>
      <c r="C26" s="49">
        <f>C5-C21+C23-C24</f>
        <v>169023.08999999985</v>
      </c>
      <c r="D26" s="68"/>
      <c r="H26" s="68"/>
      <c r="R26" s="203" t="s">
        <v>334</v>
      </c>
      <c r="S26" s="203" t="s">
        <v>335</v>
      </c>
    </row>
    <row r="27" spans="1:20" x14ac:dyDescent="0.4">
      <c r="R27" s="20">
        <v>7025</v>
      </c>
      <c r="S27" s="20">
        <v>24933</v>
      </c>
    </row>
    <row r="28" spans="1:20" x14ac:dyDescent="0.4">
      <c r="R28" s="20">
        <v>36379</v>
      </c>
      <c r="S28" s="20">
        <v>17600</v>
      </c>
    </row>
    <row r="29" spans="1:20" x14ac:dyDescent="0.4">
      <c r="R29" s="20">
        <v>44850</v>
      </c>
      <c r="S29" s="20"/>
    </row>
    <row r="30" spans="1:20" x14ac:dyDescent="0.4">
      <c r="R30" s="208">
        <f>SUM(R27:R29)</f>
        <v>88254</v>
      </c>
      <c r="S30" s="208">
        <f>SUM(S27:S29)</f>
        <v>42533</v>
      </c>
      <c r="T30" s="209">
        <f>SUM(R30:S30)</f>
        <v>130787</v>
      </c>
    </row>
    <row r="31" spans="1:20" x14ac:dyDescent="0.4">
      <c r="S31" s="210">
        <f>S30-R30</f>
        <v>-45721</v>
      </c>
    </row>
    <row r="33" spans="18:20" x14ac:dyDescent="0.4">
      <c r="R33" s="20"/>
      <c r="S33" s="20"/>
    </row>
    <row r="34" spans="18:20" x14ac:dyDescent="0.4">
      <c r="R34" s="203" t="s">
        <v>334</v>
      </c>
      <c r="S34" s="203" t="s">
        <v>335</v>
      </c>
    </row>
    <row r="35" spans="18:20" x14ac:dyDescent="0.4">
      <c r="R35" s="20">
        <v>1964100</v>
      </c>
      <c r="S35" s="20">
        <v>1964100</v>
      </c>
    </row>
    <row r="36" spans="18:20" x14ac:dyDescent="0.4">
      <c r="R36" s="20">
        <v>1964100</v>
      </c>
      <c r="S36" s="20">
        <v>1964100</v>
      </c>
    </row>
    <row r="37" spans="18:20" x14ac:dyDescent="0.4">
      <c r="R37" s="208">
        <f>SUM(R35:R36)</f>
        <v>3928200</v>
      </c>
      <c r="S37" s="208">
        <f>SUM(S35:S36)</f>
        <v>3928200</v>
      </c>
      <c r="T37" s="209"/>
    </row>
    <row r="38" spans="18:20" x14ac:dyDescent="0.4">
      <c r="S38" s="210">
        <f>S37-R37</f>
        <v>0</v>
      </c>
    </row>
    <row r="41" spans="18:20" x14ac:dyDescent="0.4">
      <c r="R41" s="20"/>
      <c r="S41" s="20"/>
    </row>
    <row r="42" spans="18:20" x14ac:dyDescent="0.4">
      <c r="R42" s="203" t="s">
        <v>334</v>
      </c>
      <c r="S42" s="203" t="s">
        <v>335</v>
      </c>
    </row>
    <row r="43" spans="18:20" x14ac:dyDescent="0.4">
      <c r="R43" s="20"/>
      <c r="S43" s="20">
        <v>649263</v>
      </c>
    </row>
    <row r="44" spans="18:20" x14ac:dyDescent="0.4">
      <c r="R44" s="20"/>
      <c r="S44" s="20">
        <v>244457</v>
      </c>
    </row>
    <row r="45" spans="18:20" x14ac:dyDescent="0.4">
      <c r="R45" s="20"/>
      <c r="S45" s="20">
        <v>4000</v>
      </c>
    </row>
    <row r="46" spans="18:20" x14ac:dyDescent="0.4">
      <c r="R46" s="20">
        <v>4400.96</v>
      </c>
      <c r="S46" s="20"/>
    </row>
    <row r="47" spans="18:20" x14ac:dyDescent="0.4">
      <c r="R47" s="208">
        <f>SUM(R43:R46)</f>
        <v>4400.96</v>
      </c>
      <c r="S47" s="208">
        <f>SUM(S43:S46)</f>
        <v>897720</v>
      </c>
      <c r="T47" s="209">
        <f>SUM(R47:S47)</f>
        <v>902120.95999999996</v>
      </c>
    </row>
    <row r="48" spans="18:20" x14ac:dyDescent="0.4">
      <c r="S48" s="210">
        <f>S47-R47</f>
        <v>893319.04</v>
      </c>
    </row>
    <row r="49" spans="18:20" x14ac:dyDescent="0.4">
      <c r="R49" s="20"/>
      <c r="S49" s="20"/>
    </row>
    <row r="51" spans="18:20" x14ac:dyDescent="0.4">
      <c r="R51" s="203" t="s">
        <v>334</v>
      </c>
      <c r="S51" s="203" t="s">
        <v>335</v>
      </c>
    </row>
    <row r="52" spans="18:20" x14ac:dyDescent="0.4">
      <c r="R52" s="20"/>
      <c r="S52" s="20">
        <f>4100*3</f>
        <v>12300</v>
      </c>
    </row>
    <row r="53" spans="18:20" x14ac:dyDescent="0.4">
      <c r="R53" s="20"/>
      <c r="S53" s="20">
        <v>98341</v>
      </c>
    </row>
    <row r="54" spans="18:20" x14ac:dyDescent="0.4">
      <c r="R54" s="20">
        <v>59283.32</v>
      </c>
      <c r="S54" s="20"/>
    </row>
    <row r="55" spans="18:20" x14ac:dyDescent="0.4">
      <c r="R55" s="20">
        <v>29922</v>
      </c>
      <c r="S55" s="20"/>
    </row>
    <row r="56" spans="18:20" x14ac:dyDescent="0.4">
      <c r="R56" s="20">
        <v>32665</v>
      </c>
    </row>
    <row r="57" spans="18:20" x14ac:dyDescent="0.4">
      <c r="R57" s="208">
        <f>SUM(R52:R56)</f>
        <v>121870.32</v>
      </c>
      <c r="S57" s="208">
        <f>SUM(S52:S56)</f>
        <v>110641</v>
      </c>
      <c r="T57" s="209">
        <f>SUM(R57:S57)</f>
        <v>232511.32</v>
      </c>
    </row>
    <row r="58" spans="18:20" x14ac:dyDescent="0.4">
      <c r="S58" s="210">
        <f>S57-R57</f>
        <v>-11229.320000000007</v>
      </c>
    </row>
    <row r="60" spans="18:20" x14ac:dyDescent="0.4">
      <c r="R60" s="203" t="s">
        <v>334</v>
      </c>
      <c r="S60" s="203" t="s">
        <v>335</v>
      </c>
    </row>
    <row r="61" spans="18:20" x14ac:dyDescent="0.4">
      <c r="R61" s="20"/>
      <c r="S61" s="20">
        <v>148299</v>
      </c>
    </row>
    <row r="62" spans="18:20" x14ac:dyDescent="0.4">
      <c r="R62" s="20">
        <v>47290</v>
      </c>
      <c r="S62" s="20">
        <v>477584</v>
      </c>
    </row>
    <row r="63" spans="18:20" x14ac:dyDescent="0.4">
      <c r="R63" s="20">
        <v>43231.360000000001</v>
      </c>
      <c r="S63" s="20">
        <v>56945</v>
      </c>
    </row>
    <row r="64" spans="18:20" x14ac:dyDescent="0.4">
      <c r="R64" s="20">
        <v>119221</v>
      </c>
      <c r="S64" s="20">
        <v>55698</v>
      </c>
    </row>
    <row r="65" spans="18:20" x14ac:dyDescent="0.4">
      <c r="R65" s="20">
        <v>22537</v>
      </c>
      <c r="S65" s="20">
        <v>92512</v>
      </c>
    </row>
    <row r="66" spans="18:20" x14ac:dyDescent="0.4">
      <c r="R66" s="20">
        <v>58765</v>
      </c>
      <c r="S66" s="20">
        <v>99000</v>
      </c>
    </row>
    <row r="67" spans="18:20" x14ac:dyDescent="0.4">
      <c r="R67" s="208">
        <f>SUM(R61:R66)</f>
        <v>291044.36</v>
      </c>
      <c r="S67" s="208">
        <f>SUM(S61:S66)</f>
        <v>930038</v>
      </c>
      <c r="T67" s="209">
        <f>SUM(R67:S67)</f>
        <v>1221082.3599999999</v>
      </c>
    </row>
    <row r="68" spans="18:20" x14ac:dyDescent="0.4">
      <c r="S68" s="210">
        <f>S67-R67</f>
        <v>638993.64</v>
      </c>
    </row>
    <row r="70" spans="18:20" x14ac:dyDescent="0.4">
      <c r="R70" s="203" t="s">
        <v>334</v>
      </c>
      <c r="S70" s="203" t="s">
        <v>335</v>
      </c>
    </row>
    <row r="71" spans="18:20" x14ac:dyDescent="0.4">
      <c r="R71" s="20"/>
      <c r="S71" s="20">
        <v>285233.27</v>
      </c>
    </row>
    <row r="72" spans="18:20" x14ac:dyDescent="0.4">
      <c r="R72" s="20"/>
      <c r="S72" s="20">
        <v>675650</v>
      </c>
    </row>
    <row r="73" spans="18:20" x14ac:dyDescent="0.4">
      <c r="R73" s="20"/>
      <c r="S73" s="20">
        <v>30570</v>
      </c>
    </row>
    <row r="74" spans="18:20" x14ac:dyDescent="0.4">
      <c r="R74" s="20"/>
      <c r="S74" s="20">
        <v>404655.91</v>
      </c>
    </row>
    <row r="75" spans="18:20" x14ac:dyDescent="0.4">
      <c r="R75" s="20">
        <v>11525</v>
      </c>
      <c r="S75" s="20"/>
    </row>
    <row r="76" spans="18:20" x14ac:dyDescent="0.4">
      <c r="R76" s="208">
        <f>SUM(R71:R75)</f>
        <v>11525</v>
      </c>
      <c r="S76" s="208">
        <f>SUM(S71:S75)</f>
        <v>1396109.18</v>
      </c>
      <c r="T76" s="209">
        <f>SUM(R76:S76)</f>
        <v>1407634.18</v>
      </c>
    </row>
    <row r="77" spans="18:20" x14ac:dyDescent="0.4">
      <c r="S77" s="210">
        <f>S76-R76</f>
        <v>1384584.18</v>
      </c>
    </row>
    <row r="79" spans="18:20" x14ac:dyDescent="0.4">
      <c r="R79" s="20">
        <v>460074.8</v>
      </c>
      <c r="S79" s="210">
        <f>R79/2</f>
        <v>230037.4</v>
      </c>
    </row>
    <row r="85" spans="18:20" x14ac:dyDescent="0.4">
      <c r="R85" s="203" t="s">
        <v>334</v>
      </c>
      <c r="S85" s="203" t="s">
        <v>335</v>
      </c>
    </row>
    <row r="86" spans="18:20" x14ac:dyDescent="0.4">
      <c r="R86" s="20"/>
      <c r="S86" s="20">
        <v>18175</v>
      </c>
    </row>
    <row r="87" spans="18:20" x14ac:dyDescent="0.4">
      <c r="R87" s="20"/>
      <c r="S87" s="20">
        <v>1600000</v>
      </c>
    </row>
    <row r="88" spans="18:20" x14ac:dyDescent="0.4">
      <c r="R88" s="20">
        <v>23500</v>
      </c>
      <c r="S88" s="20"/>
    </row>
    <row r="89" spans="18:20" x14ac:dyDescent="0.4">
      <c r="R89" s="208">
        <f>SUM(R86:R88)</f>
        <v>23500</v>
      </c>
      <c r="S89" s="208">
        <f>SUM(S86:S88)</f>
        <v>1618175</v>
      </c>
      <c r="T89" s="209">
        <f>SUM(R89:S89)</f>
        <v>1641675</v>
      </c>
    </row>
    <row r="90" spans="18:20" x14ac:dyDescent="0.4">
      <c r="S90" s="210">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121"/>
  <sheetViews>
    <sheetView zoomScaleNormal="100" workbookViewId="0">
      <selection activeCell="C26" sqref="C26"/>
    </sheetView>
  </sheetViews>
  <sheetFormatPr defaultRowHeight="14.6" x14ac:dyDescent="0.4"/>
  <cols>
    <col min="1" max="1" width="5.69140625" customWidth="1"/>
    <col min="2" max="2" width="23.3046875" bestFit="1" customWidth="1"/>
    <col min="3" max="3" width="15.3046875" style="41" bestFit="1" customWidth="1"/>
    <col min="4" max="4" width="5.69140625" customWidth="1"/>
    <col min="6" max="6" width="14.3046875" bestFit="1" customWidth="1"/>
    <col min="8" max="8" width="5.69140625" customWidth="1"/>
    <col min="19" max="19" width="10.07421875" bestFit="1" customWidth="1"/>
  </cols>
  <sheetData>
    <row r="1" spans="1:10" x14ac:dyDescent="0.4">
      <c r="A1" s="140" t="s">
        <v>264</v>
      </c>
    </row>
    <row r="2" spans="1:10" x14ac:dyDescent="0.4">
      <c r="B2" s="45" t="s">
        <v>139</v>
      </c>
    </row>
    <row r="3" spans="1:10" x14ac:dyDescent="0.4">
      <c r="B3" t="s">
        <v>141</v>
      </c>
      <c r="E3" s="45" t="s">
        <v>308</v>
      </c>
    </row>
    <row r="4" spans="1:10" x14ac:dyDescent="0.4">
      <c r="B4" s="46" t="s">
        <v>303</v>
      </c>
      <c r="C4" s="47">
        <f>Contributions!K15</f>
        <v>12857284.462265246</v>
      </c>
      <c r="E4" s="21" t="s">
        <v>137</v>
      </c>
      <c r="F4" s="250">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20925'!$E:$E,E4,'20925'!$H:$H)+SUMIF('20936'!$E:$E,E4,'20936'!$H:$H)+SUMIF('20940'!$E:$E,E4,'20940'!$H:$H)+SUMIF('20945'!$E:$E,E4,'20945'!$H:$H)+SUMIF('20958'!$E:$E,E4,'20958'!$H:$H)+SUMIF('20962'!$E:$E,E4,'20962'!$H:$H)+SUMIF('20982'!$E:$E,E4,'20982'!$H:$H)+SUMIF('20984'!$E:$E,E4,'20984'!$H:$H)+SUMIF('21004'!$E:$E,E4,'21004'!$H:$H)+SUMIF('21010'!$E:$E,E4,'21010'!$H:$H)+SUMIF('21035'!$E:$E,E4,'21035'!$H:$H)+SUMIF('21066'!$E:$E,E4,'21066'!$H:$H)+SUMIF('21067'!$E:$E,E4,'21067'!$H:$H)+SUMIF('21068'!$E:$E,E4,'21068'!$H:$H)+SUMIF('21070'!$E:$E,E4,'21070'!$H:$H)+SUMIF('21071'!$E:$E,E4,'21071'!$H:$H)+SUMIF('21094'!$E:$E,E4,'21094'!$H:$H)+SUMIF('21108'!$E:$E,E4,'21108'!$H:$H)+SUMIF('21113'!$E:$E,E4,'21113'!$H:$H)+SUMIF('21114'!$E:$E,E4,'21114'!$H:$H)</f>
        <v>0</v>
      </c>
    </row>
    <row r="5" spans="1:10" x14ac:dyDescent="0.4">
      <c r="B5" s="50" t="s">
        <v>144</v>
      </c>
      <c r="C5" s="51">
        <f>SUM(C1:C4)</f>
        <v>12857284.462265246</v>
      </c>
      <c r="J5" s="21"/>
    </row>
    <row r="8" spans="1:10" x14ac:dyDescent="0.4">
      <c r="B8" t="s">
        <v>142</v>
      </c>
      <c r="F8" s="42"/>
    </row>
    <row r="9" spans="1:10" x14ac:dyDescent="0.4">
      <c r="B9" s="21" t="s">
        <v>409</v>
      </c>
      <c r="C9" s="250">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3"/>
    </row>
    <row r="10" spans="1:10" x14ac:dyDescent="0.4">
      <c r="B10" s="21" t="s">
        <v>422</v>
      </c>
      <c r="C10" s="250">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133"/>
    </row>
    <row r="11" spans="1:10" x14ac:dyDescent="0.4">
      <c r="B11" s="21" t="s">
        <v>427</v>
      </c>
      <c r="C11" s="250">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197000</v>
      </c>
      <c r="F11" s="133"/>
    </row>
    <row r="12" spans="1:10" x14ac:dyDescent="0.4">
      <c r="B12" s="21" t="s">
        <v>429</v>
      </c>
      <c r="C12" s="250">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3219114</v>
      </c>
      <c r="F12" s="133"/>
    </row>
    <row r="13" spans="1:10" x14ac:dyDescent="0.4">
      <c r="B13" s="21" t="s">
        <v>442</v>
      </c>
      <c r="C13" s="250">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1398860</v>
      </c>
      <c r="F13" s="133"/>
    </row>
    <row r="14" spans="1:10" x14ac:dyDescent="0.4">
      <c r="B14" s="21" t="s">
        <v>444</v>
      </c>
      <c r="C14" s="250">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16559.64</v>
      </c>
      <c r="F14" s="133"/>
    </row>
    <row r="15" spans="1:10" x14ac:dyDescent="0.4">
      <c r="B15" s="21" t="s">
        <v>465</v>
      </c>
      <c r="C15" s="250">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348561.4</v>
      </c>
      <c r="F15" s="133"/>
    </row>
    <row r="16" spans="1:10" x14ac:dyDescent="0.4">
      <c r="B16" s="21" t="s">
        <v>468</v>
      </c>
      <c r="C16" s="250">
        <f>SUMIF('10146'!$E:$E,B16,'10146'!$H:$H)+SUMIF('20179'!$E:$E,B16,'20179'!$H:$H)+SUMIF('20431'!$E:$E,B16,'20431'!$H:$H)+SUMIF('20478'!$E:$E,B16,'20478'!$H:$H)+SUMIF('20489'!$E:$E,B16,'20489'!$H:$H)+SUMIF('20577'!$E:$E,B16,'20577'!$H:$H)+SUMIF('20667'!$E:$E,B16,'20667'!$H:$H)+SUMIF('20668'!$E:$E,B16,'20668'!$H:$H)+SUMIF('20698'!$E:$E,B16,'20698'!$H:$H)+SUMIF('20701'!$E:$E,B16,'20701'!$H:$H)+SUMIF('20723'!$E:$E,B16,'20723'!$H:$H)+SUMIF('20724'!$E:$E,B16,'20724'!$H:$H)+SUMIF('20767'!$E:$E,B16,'20767'!$H:$H)+SUMIF('20772'!$E:$E,B16,'20772'!$H:$H)+SUMIF('20811'!$E:$E,B16,'20811'!$H:$H)+SUMIF('20812'!$E:$E,B16,'20812'!$H:$H)+SUMIF('20857'!$E:$E,B16,'20857'!$H:$H)+SUMIF('20884'!$E:$E,B16,'20884'!$H:$H)+SUMIF('20885'!$E:$E,B16,'20885'!$H:$H)+SUMIF('20911'!$E:$E,B16,'20911'!$H:$H)+SUMIF('20912'!$E:$E,B16,'20912'!$H:$H)+SUMIF('20913'!$E:$E,B16,'20913'!$H:$H)+SUMIF('20922'!$E:$E,B16,'20922'!$H:$H)+SUMIF('20924'!$E:$E,B16,'20924'!$H:$H)+SUMIF('20936'!$E:$E,B16,'20936'!$H:$H)+SUMIF('20945'!$E:$E,B16,'20945'!$H:$H)+SUMIF('20958'!$E:$E,B16,'20958'!$H:$H)+SUMIF('20982'!$E:$E,B16,'20982'!$H:$H)+SUMIF('20984'!$E:$E,B16,'20984'!$H:$H)+SUMIF('20940'!$E:$E,B16,'20940'!$H:$H)+SUMIF('20962'!$E:$E,B16,'20962'!$H:$H)+SUMIF('21004'!$E:$E,B16,'21004'!$H:$H)+SUMIF('21010'!$E:$E,B16,'21010'!$H:$H)+SUMIF('21066'!$E:$E,B16,'21066'!$H:$H)+SUMIF('21067'!$E:$E,B16,'21067'!$H:$H)+SUMIF('21068'!$E:$E,B16,'21068'!$H:$H)+SUMIF('21070'!$E:$E,B16,'21070'!$H:$H)+SUMIF('21071'!$E:$E,B16,'21071'!$H:$H)+SUMIF('21094'!$E:$E,B16,'21094'!$H:$H)+SUMIF('21108'!$E:$E,B16,'21108'!$H:$H)</f>
        <v>392042.1</v>
      </c>
      <c r="F16" s="133"/>
    </row>
    <row r="17" spans="1:21" x14ac:dyDescent="0.4">
      <c r="B17" s="21" t="s">
        <v>469</v>
      </c>
      <c r="C17" s="250">
        <f>SUMIF('10146'!$E:$E,B17,'10146'!$H:$H)+SUMIF('20179'!$E:$E,B17,'20179'!$H:$H)+SUMIF('20431'!$E:$E,B17,'20431'!$H:$H)+SUMIF('20478'!$E:$E,B17,'20478'!$H:$H)+SUMIF('20489'!$E:$E,B17,'20489'!$H:$H)+SUMIF('20577'!$E:$E,B17,'20577'!$H:$H)+SUMIF('20667'!$E:$E,B17,'20667'!$H:$H)+SUMIF('20668'!$E:$E,B17,'20668'!$H:$H)+SUMIF('20698'!$E:$E,B17,'20698'!$H:$H)+SUMIF('20701'!$E:$E,B17,'20701'!$H:$H)+SUMIF('20723'!$E:$E,B17,'20723'!$H:$H)+SUMIF('20724'!$E:$E,B17,'20724'!$H:$H)+SUMIF('20767'!$E:$E,B17,'20767'!$H:$H)+SUMIF('20772'!$E:$E,B17,'20772'!$H:$H)+SUMIF('20811'!$E:$E,B17,'20811'!$H:$H)+SUMIF('20812'!$E:$E,B17,'20812'!$H:$H)+SUMIF('20857'!$E:$E,B17,'20857'!$H:$H)+SUMIF('20884'!$E:$E,B17,'20884'!$H:$H)+SUMIF('20885'!$E:$E,B17,'20885'!$H:$H)+SUMIF('20911'!$E:$E,B17,'20911'!$H:$H)+SUMIF('20912'!$E:$E,B17,'20912'!$H:$H)+SUMIF('20913'!$E:$E,B17,'20913'!$H:$H)+SUMIF('20922'!$E:$E,B17,'20922'!$H:$H)+SUMIF('20924'!$E:$E,B17,'20924'!$H:$H)+SUMIF('20936'!$E:$E,B17,'20936'!$H:$H)+SUMIF('20945'!$E:$E,B17,'20945'!$H:$H)+SUMIF('20958'!$E:$E,B17,'20958'!$H:$H)+SUMIF('20982'!$E:$E,B17,'20982'!$H:$H)+SUMIF('20984'!$E:$E,B17,'20984'!$H:$H)+SUMIF('20940'!$E:$E,B17,'20940'!$H:$H)+SUMIF('20962'!$E:$E,B17,'20962'!$H:$H)+SUMIF('21004'!$E:$E,B17,'21004'!$H:$H)+SUMIF('21010'!$E:$E,B17,'21010'!$H:$H)+SUMIF('21066'!$E:$E,B17,'21066'!$H:$H)+SUMIF('21067'!$E:$E,B17,'21067'!$H:$H)+SUMIF('21068'!$E:$E,B17,'21068'!$H:$H)+SUMIF('21070'!$E:$E,B17,'21070'!$H:$H)+SUMIF('21071'!$E:$E,B17,'21071'!$H:$H)+SUMIF('21094'!$E:$E,B17,'21094'!$H:$H)+SUMIF('21108'!$E:$E,B17,'21108'!$H:$H)</f>
        <v>447635</v>
      </c>
      <c r="F17" s="41"/>
    </row>
    <row r="18" spans="1:21" x14ac:dyDescent="0.4">
      <c r="B18" s="21" t="s">
        <v>473</v>
      </c>
      <c r="C18" s="250">
        <f>SUMIF('10146'!$E:$E,B18,'10146'!$H:$H)+SUMIF('20179'!$E:$E,B18,'20179'!$H:$H)+SUMIF('20431'!$E:$E,B18,'20431'!$H:$H)+SUMIF('20478'!$E:$E,B18,'20478'!$H:$H)+SUMIF('20489'!$E:$E,B18,'20489'!$H:$H)+SUMIF('20577'!$E:$E,B18,'20577'!$H:$H)+SUMIF('20667'!$E:$E,B18,'20667'!$H:$H)+SUMIF('20668'!$E:$E,B18,'20668'!$H:$H)+SUMIF('20698'!$E:$E,B18,'20698'!$H:$H)+SUMIF('20701'!$E:$E,B18,'20701'!$H:$H)+SUMIF('20723'!$E:$E,B18,'20723'!$H:$H)+SUMIF('20724'!$E:$E,B18,'20724'!$H:$H)+SUMIF('20767'!$E:$E,B18,'20767'!$H:$H)+SUMIF('20772'!$E:$E,B18,'20772'!$H:$H)+SUMIF('20811'!$E:$E,B18,'20811'!$H:$H)+SUMIF('20812'!$E:$E,B18,'20812'!$H:$H)+SUMIF('20857'!$E:$E,B18,'20857'!$H:$H)+SUMIF('20884'!$E:$E,B18,'20884'!$H:$H)+SUMIF('20885'!$E:$E,B18,'20885'!$H:$H)+SUMIF('20911'!$E:$E,B18,'20911'!$H:$H)+SUMIF('20912'!$E:$E,B18,'20912'!$H:$H)+SUMIF('20913'!$E:$E,B18,'20913'!$H:$H)+SUMIF('20922'!$E:$E,B18,'20922'!$H:$H)+SUMIF('20924'!$E:$E,B18,'20924'!$H:$H)+SUMIF('20925'!$E:$E,B18,'20925'!$H:$H)+SUMIF('20936'!$E:$E,B18,'20936'!$H:$H)+SUMIF('20940'!$E:$E,B18,'20940'!$H:$H)+SUMIF('20945'!$E:$E,B18,'20945'!$H:$H)+SUMIF('20958'!$E:$E,B18,'20958'!$H:$H)+SUMIF('20962'!$E:$E,B18,'20962'!$H:$H)+SUMIF('20982'!$E:$E,B18,'20982'!$H:$H)+SUMIF('20984'!$E:$E,B18,'20984'!$H:$H)+SUMIF('21004'!$E:$E,B18,'21004'!$H:$H)+SUMIF('21010'!$E:$E,B18,'21010'!$H:$H)+SUMIF('21035'!$E:$E,B18,'21035'!$H:$H)+SUMIF('21066'!$E:$E,B18,'21066'!$H:$H)+SUMIF('21067'!$E:$E,B18,'21067'!$H:$H)+SUMIF('21068'!$E:$E,B18,'21068'!$H:$H)+SUMIF('21070'!$E:$E,B18,'21070'!$H:$H)+SUMIF('21071'!$E:$E,B18,'21071'!$H:$H)+SUMIF('21094'!$E:$E,B18,'21094'!$H:$H)+SUMIF('21108'!$E:$E,B18,'21108'!$H:$H)+SUMIF('21114'!$E:$E,B18,'21114'!$H:$H)</f>
        <v>1756513.16</v>
      </c>
      <c r="F18" s="41"/>
    </row>
    <row r="19" spans="1:21" x14ac:dyDescent="0.4">
      <c r="B19" s="21" t="s">
        <v>569</v>
      </c>
      <c r="C19" s="250">
        <f>SUMIF('10146'!$E:$E,B19,'10146'!$H:$H)+SUMIF('20179'!$E:$E,B19,'20179'!$H:$H)+SUMIF('20431'!$E:$E,B19,'20431'!$H:$H)+SUMIF('20478'!$E:$E,B19,'20478'!$H:$H)+SUMIF('20489'!$E:$E,B19,'20489'!$H:$H)+SUMIF('20577'!$E:$E,B19,'20577'!$H:$H)+SUMIF('20667'!$E:$E,B19,'20667'!$H:$H)+SUMIF('20668'!$E:$E,B19,'20668'!$H:$H)+SUMIF('20698'!$E:$E,B19,'20698'!$H:$H)+SUMIF('20701'!$E:$E,B19,'20701'!$H:$H)+SUMIF('20723'!$E:$E,B19,'20723'!$H:$H)+SUMIF('20724'!$E:$E,B19,'20724'!$H:$H)+SUMIF('20767'!$E:$E,B19,'20767'!$H:$H)+SUMIF('20772'!$E:$E,B19,'20772'!$H:$H)+SUMIF('20811'!$E:$E,B19,'20811'!$H:$H)+SUMIF('20812'!$E:$E,B19,'20812'!$H:$H)+SUMIF('20857'!$E:$E,B19,'20857'!$H:$H)+SUMIF('20884'!$E:$E,B19,'20884'!$H:$H)+SUMIF('20885'!$E:$E,B19,'20885'!$H:$H)+SUMIF('20911'!$E:$E,B19,'20911'!$H:$H)+SUMIF('20912'!$E:$E,B19,'20912'!$H:$H)+SUMIF('20913'!$E:$E,B19,'20913'!$H:$H)+SUMIF('20922'!$E:$E,B19,'20922'!$H:$H)+SUMIF('20924'!$E:$E,B19,'20924'!$H:$H)+SUMIF('20925'!$E:$E,B19,'20925'!$H:$H)+SUMIF('20936'!$E:$E,B19,'20936'!$H:$H)+SUMIF('20940'!$E:$E,B19,'20940'!$H:$H)+SUMIF('20945'!$E:$E,B19,'20945'!$H:$H)+SUMIF('20958'!$E:$E,B19,'20958'!$H:$H)+SUMIF('20962'!$E:$E,B19,'20962'!$H:$H)+SUMIF('20979'!$E:$E,B19,'20979'!$H:$H)+SUMIF('20982'!$E:$E,B19,'20982'!$H:$H)+SUMIF('20984'!$E:$E,B19,'20984'!$H:$H)+SUMIF('21004'!$E:$E,B19,'21004'!$H:$H)+SUMIF('21010'!$E:$E,B19,'21010'!$H:$H)+SUMIF('21035'!$E:$E,B19,'21035'!$H:$H)+SUMIF('21066'!$E:$E,B19,'21066'!$H:$H)+SUMIF('21067'!$E:$E,B19,'21067'!$H:$H)+SUMIF('21068'!$E:$E,B19,'21068'!$H:$H)+SUMIF('21070'!$E:$E,B19,'21070'!$H:$H)+SUMIF('21071'!$E:$E,B19,'21071'!$H:$H)+SUMIF('21094'!$E:$E,B19,'21094'!$H:$H)+SUMIF('21108'!$E:$E,B19,'21108'!$H:$H)+SUMIF('21113'!$E:$E,B19,'21113'!$H:$H)+SUMIF('21114'!$E:$E,B19,'21114'!$H:$H)</f>
        <v>605805</v>
      </c>
    </row>
    <row r="20" spans="1:21" x14ac:dyDescent="0.4">
      <c r="B20" s="46"/>
      <c r="C20" s="47"/>
    </row>
    <row r="21" spans="1:21" x14ac:dyDescent="0.4">
      <c r="A21" s="68"/>
      <c r="B21" s="52" t="s">
        <v>143</v>
      </c>
      <c r="C21" s="53">
        <f>SUM(C9:C20)</f>
        <v>10171078.439999999</v>
      </c>
      <c r="D21" s="68"/>
      <c r="H21" s="68"/>
    </row>
    <row r="23" spans="1:21" x14ac:dyDescent="0.4">
      <c r="B23" s="21" t="s">
        <v>309</v>
      </c>
      <c r="C23" s="41">
        <f>'JE LOG_FY24'!C26</f>
        <v>169023.08999999985</v>
      </c>
    </row>
    <row r="24" spans="1:21" x14ac:dyDescent="0.4">
      <c r="B24" s="21" t="s">
        <v>310</v>
      </c>
      <c r="C24" s="41">
        <f>F4</f>
        <v>0</v>
      </c>
      <c r="S24" s="203" t="s">
        <v>334</v>
      </c>
      <c r="T24" s="203" t="s">
        <v>335</v>
      </c>
    </row>
    <row r="25" spans="1:21" x14ac:dyDescent="0.4">
      <c r="S25" s="20"/>
      <c r="T25" s="20">
        <v>38500</v>
      </c>
    </row>
    <row r="26" spans="1:21" x14ac:dyDescent="0.4">
      <c r="A26" s="68"/>
      <c r="B26" s="48" t="s">
        <v>135</v>
      </c>
      <c r="C26" s="49">
        <f>C5-C21+C23-C24</f>
        <v>2855229.112265246</v>
      </c>
      <c r="D26" s="68"/>
      <c r="H26" s="68"/>
      <c r="S26" s="20"/>
      <c r="T26" s="20">
        <v>243454</v>
      </c>
    </row>
    <row r="27" spans="1:21" x14ac:dyDescent="0.4">
      <c r="S27" s="20">
        <v>92965.86</v>
      </c>
      <c r="T27" s="20"/>
    </row>
    <row r="28" spans="1:21" x14ac:dyDescent="0.4">
      <c r="S28" s="208">
        <f>SUM(S25:S27)</f>
        <v>92965.86</v>
      </c>
      <c r="T28" s="208">
        <f>SUM(T25:T27)</f>
        <v>281954</v>
      </c>
      <c r="U28" s="209">
        <f>SUM(S28:T28)</f>
        <v>374919.86</v>
      </c>
    </row>
    <row r="29" spans="1:21" x14ac:dyDescent="0.4">
      <c r="T29" s="210">
        <f>T28-S28</f>
        <v>188988.14</v>
      </c>
    </row>
    <row r="65" spans="19:21" x14ac:dyDescent="0.4">
      <c r="S65" s="203" t="s">
        <v>334</v>
      </c>
      <c r="T65" s="203" t="s">
        <v>335</v>
      </c>
    </row>
    <row r="66" spans="19:21" x14ac:dyDescent="0.4">
      <c r="S66" s="20"/>
      <c r="T66" s="20">
        <v>1800</v>
      </c>
    </row>
    <row r="67" spans="19:21" x14ac:dyDescent="0.4">
      <c r="S67" s="20"/>
      <c r="T67" s="20">
        <v>14759.64</v>
      </c>
    </row>
    <row r="68" spans="19:21" x14ac:dyDescent="0.4">
      <c r="S68" s="20">
        <v>33119.279999999999</v>
      </c>
      <c r="T68" s="20"/>
    </row>
    <row r="69" spans="19:21" x14ac:dyDescent="0.4">
      <c r="S69" s="208">
        <f>SUM(S66:S68)</f>
        <v>33119.279999999999</v>
      </c>
      <c r="T69" s="208">
        <f>SUM(T66:T68)</f>
        <v>16559.64</v>
      </c>
      <c r="U69" s="209">
        <f>SUM(S69:T69)</f>
        <v>49678.92</v>
      </c>
    </row>
    <row r="70" spans="19:21" x14ac:dyDescent="0.4">
      <c r="T70" s="210">
        <f>T69-S69</f>
        <v>-16559.64</v>
      </c>
    </row>
    <row r="73" spans="19:21" x14ac:dyDescent="0.4">
      <c r="S73" s="203" t="s">
        <v>334</v>
      </c>
      <c r="T73" s="203" t="s">
        <v>335</v>
      </c>
    </row>
    <row r="74" spans="19:21" x14ac:dyDescent="0.4">
      <c r="S74" s="20">
        <v>5000</v>
      </c>
      <c r="T74" s="20">
        <v>34837.4</v>
      </c>
    </row>
    <row r="75" spans="19:21" x14ac:dyDescent="0.4">
      <c r="S75" s="20">
        <v>13000</v>
      </c>
      <c r="T75" s="20">
        <v>19440</v>
      </c>
    </row>
    <row r="76" spans="19:21" x14ac:dyDescent="0.4">
      <c r="S76" s="20">
        <v>19440</v>
      </c>
      <c r="T76" s="20">
        <v>29160</v>
      </c>
    </row>
    <row r="77" spans="19:21" x14ac:dyDescent="0.4">
      <c r="S77" s="20">
        <v>29160</v>
      </c>
      <c r="T77" s="20">
        <v>5000</v>
      </c>
    </row>
    <row r="78" spans="19:21" x14ac:dyDescent="0.4">
      <c r="S78" s="20">
        <v>33600</v>
      </c>
      <c r="T78" s="20">
        <v>126024</v>
      </c>
    </row>
    <row r="79" spans="19:21" x14ac:dyDescent="0.4">
      <c r="S79" s="20">
        <v>34837.4</v>
      </c>
      <c r="T79" s="20">
        <v>13000</v>
      </c>
    </row>
    <row r="80" spans="19:21" x14ac:dyDescent="0.4">
      <c r="S80" s="20">
        <v>87500</v>
      </c>
      <c r="T80" s="20">
        <v>33600</v>
      </c>
    </row>
    <row r="81" spans="19:21" x14ac:dyDescent="0.4">
      <c r="S81" s="20">
        <v>126024</v>
      </c>
      <c r="T81" s="20">
        <v>87500</v>
      </c>
    </row>
    <row r="82" spans="19:21" x14ac:dyDescent="0.4">
      <c r="S82" s="208">
        <f>SUM(S74:S81)</f>
        <v>348561.4</v>
      </c>
      <c r="T82" s="269">
        <f>SUM(T74:T81)</f>
        <v>348561.4</v>
      </c>
      <c r="U82" s="209">
        <f>SUM(S82:T82)</f>
        <v>697122.8</v>
      </c>
    </row>
    <row r="83" spans="19:21" x14ac:dyDescent="0.4">
      <c r="T83" s="210">
        <f>T82-S82</f>
        <v>0</v>
      </c>
    </row>
    <row r="100" spans="19:21" x14ac:dyDescent="0.4">
      <c r="S100" s="203" t="s">
        <v>334</v>
      </c>
      <c r="T100" s="203" t="s">
        <v>335</v>
      </c>
    </row>
    <row r="101" spans="19:21" x14ac:dyDescent="0.4">
      <c r="S101" s="20"/>
      <c r="T101" s="20">
        <v>447635</v>
      </c>
    </row>
    <row r="102" spans="19:21" x14ac:dyDescent="0.4">
      <c r="S102" s="20">
        <v>447635</v>
      </c>
      <c r="T102" s="20"/>
    </row>
    <row r="103" spans="19:21" x14ac:dyDescent="0.4">
      <c r="S103" s="208">
        <f>SUM(S101:S102)</f>
        <v>447635</v>
      </c>
      <c r="T103" s="208">
        <f>SUM(T101:T102)</f>
        <v>447635</v>
      </c>
      <c r="U103" s="209">
        <f>SUM(S103:T103)</f>
        <v>895270</v>
      </c>
    </row>
    <row r="104" spans="19:21" x14ac:dyDescent="0.4">
      <c r="T104" s="210">
        <f>T103-S103</f>
        <v>0</v>
      </c>
    </row>
    <row r="116" spans="19:21" x14ac:dyDescent="0.4">
      <c r="S116" s="203" t="s">
        <v>334</v>
      </c>
      <c r="T116" s="203" t="s">
        <v>335</v>
      </c>
    </row>
    <row r="117" spans="19:21" x14ac:dyDescent="0.4">
      <c r="S117" s="20"/>
      <c r="T117" s="20">
        <v>529750</v>
      </c>
    </row>
    <row r="118" spans="19:21" x14ac:dyDescent="0.4">
      <c r="S118" s="20"/>
      <c r="T118" s="20">
        <v>82125</v>
      </c>
    </row>
    <row r="119" spans="19:21" x14ac:dyDescent="0.4">
      <c r="S119" s="20">
        <v>6070</v>
      </c>
      <c r="T119" s="20"/>
    </row>
    <row r="120" spans="19:21" x14ac:dyDescent="0.4">
      <c r="S120" s="208">
        <f>SUM(S117:S119)</f>
        <v>6070</v>
      </c>
      <c r="T120" s="208">
        <f>SUM(T117:T119)</f>
        <v>611875</v>
      </c>
      <c r="U120" s="209">
        <f>SUM(S120:T120)</f>
        <v>617945</v>
      </c>
    </row>
    <row r="121" spans="19:21" x14ac:dyDescent="0.4">
      <c r="T121" s="210">
        <f>T120-S120</f>
        <v>605805</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260D-9E67-4DB7-B53F-73E1FF4B986B}">
  <sheetPr>
    <tabColor theme="0"/>
  </sheetPr>
  <dimension ref="A1:W29"/>
  <sheetViews>
    <sheetView zoomScaleNormal="100" workbookViewId="0"/>
  </sheetViews>
  <sheetFormatPr defaultRowHeight="14.6" x14ac:dyDescent="0.4"/>
  <cols>
    <col min="1" max="1" width="5.69140625" customWidth="1"/>
    <col min="2" max="2" width="23.3046875" bestFit="1" customWidth="1"/>
    <col min="3" max="3" width="15.3046875" style="41" bestFit="1" customWidth="1"/>
    <col min="4" max="4" width="5.69140625" customWidth="1"/>
    <col min="6" max="6" width="14.3046875" bestFit="1" customWidth="1"/>
    <col min="8" max="8" width="5.69140625" customWidth="1"/>
    <col min="22" max="23" width="10.53515625" bestFit="1" customWidth="1"/>
  </cols>
  <sheetData>
    <row r="1" spans="1:10" x14ac:dyDescent="0.4">
      <c r="A1" s="140" t="s">
        <v>264</v>
      </c>
    </row>
    <row r="2" spans="1:10" x14ac:dyDescent="0.4">
      <c r="B2" s="45" t="s">
        <v>139</v>
      </c>
    </row>
    <row r="3" spans="1:10" x14ac:dyDescent="0.4">
      <c r="B3" t="s">
        <v>141</v>
      </c>
      <c r="E3" s="45" t="s">
        <v>308</v>
      </c>
    </row>
    <row r="4" spans="1:10" x14ac:dyDescent="0.4">
      <c r="B4" s="46"/>
      <c r="C4" s="47">
        <f>ROUNDUP(Contributions!O15,0)</f>
        <v>13263820</v>
      </c>
      <c r="E4" s="21" t="s">
        <v>137</v>
      </c>
      <c r="F4" s="250">
        <f>SUMIF('21127'!$E:$E,E4,'21127'!$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20925'!$E:$E,E4,'20925'!$H:$H)+SUMIF('20936'!$E:$E,E4,'20936'!$H:$H)+SUMIF('20940'!$E:$E,E4,'20940'!$H:$H)+SUMIF('20945'!$E:$E,E4,'20945'!$H:$H)+SUMIF('20958'!$E:$E,E4,'20958'!$H:$H)+SUMIF('20962'!$E:$E,E4,'20962'!$H:$H)+SUMIF('20982'!$E:$E,E4,'20982'!$H:$H)+SUMIF('20984'!$E:$E,E4,'20984'!$H:$H)+SUMIF('21004'!$E:$E,E4,'21004'!$H:$H)+SUMIF('21010'!$E:$E,E4,'21010'!$H:$H)+SUMIF('21035'!$E:$E,E4,'21035'!$H:$H)+SUMIF('21066'!$E:$E,E4,'21066'!$H:$H)+SUMIF('21067'!$E:$E,E4,'21067'!$H:$H)+SUMIF('21068'!$E:$E,E4,'21068'!$H:$H)+SUMIF('21070'!$E:$E,E4,'21070'!$H:$H)+SUMIF('21071'!$E:$E,E4,'21071'!$H:$H)+SUMIF('21094'!$E:$E,E4,'21094'!$H:$H)+SUMIF('21108'!$E:$E,E4,'21108'!$H:$H)+SUMIF('21113'!$E:$E,E4,'21113'!$H:$H)+SUMIF('21114'!$E:$E,E4,'21114'!$H:$H)</f>
        <v>0</v>
      </c>
    </row>
    <row r="5" spans="1:10" x14ac:dyDescent="0.4">
      <c r="B5" s="50" t="s">
        <v>144</v>
      </c>
      <c r="C5" s="51">
        <f>SUM(C1:C4)</f>
        <v>13263820</v>
      </c>
      <c r="J5" s="21"/>
    </row>
    <row r="8" spans="1:10" x14ac:dyDescent="0.4">
      <c r="B8" t="s">
        <v>142</v>
      </c>
      <c r="F8" s="42"/>
    </row>
    <row r="9" spans="1:10" x14ac:dyDescent="0.4">
      <c r="B9" t="s">
        <v>599</v>
      </c>
      <c r="C9" s="250">
        <f>SUMIF('10146'!$E:$E,B9,'10146'!$H:$H)+SUMIF('21127'!$E:$E,B9,'21127'!$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449020</v>
      </c>
      <c r="F9" s="133"/>
    </row>
    <row r="10" spans="1:10" x14ac:dyDescent="0.4">
      <c r="B10" t="s">
        <v>610</v>
      </c>
      <c r="C10" s="250">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20925'!$E:$E,B10,'20925'!$H:$H)+SUMIF('20936'!$E:$E,B10,'20936'!$H:$H)+SUMIF('20945'!$E:$E,B10,'20945'!$H:$H)+SUMIF('20958'!$E:$E,B10,'20958'!$H:$H)+SUMIF('20982'!$E:$E,B10,'20982'!$H:$H)+SUMIF('20984'!$E:$E,B10,'20984'!$H:$H)</f>
        <v>3862388.14</v>
      </c>
      <c r="F10" s="133"/>
    </row>
    <row r="11" spans="1:10" x14ac:dyDescent="0.4">
      <c r="B11" s="21"/>
      <c r="C11" s="250">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0</v>
      </c>
      <c r="F11" s="133"/>
    </row>
    <row r="12" spans="1:10" x14ac:dyDescent="0.4">
      <c r="B12" s="21"/>
      <c r="C12" s="250">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0</v>
      </c>
      <c r="F12" s="133"/>
    </row>
    <row r="13" spans="1:10" x14ac:dyDescent="0.4">
      <c r="B13" s="21"/>
      <c r="C13" s="250">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0</v>
      </c>
      <c r="F13" s="133"/>
    </row>
    <row r="14" spans="1:10" x14ac:dyDescent="0.4">
      <c r="B14" s="21"/>
      <c r="C14" s="250">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0</v>
      </c>
      <c r="F14" s="133"/>
    </row>
    <row r="15" spans="1:10" x14ac:dyDescent="0.4">
      <c r="B15" s="21"/>
      <c r="C15" s="250">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0</v>
      </c>
      <c r="F15" s="133"/>
    </row>
    <row r="16" spans="1:10" x14ac:dyDescent="0.4">
      <c r="B16" s="21"/>
      <c r="C16" s="250">
        <f>SUMIF('10146'!$E:$E,B16,'10146'!$H:$H)+SUMIF('20179'!$E:$E,B16,'20179'!$H:$H)+SUMIF('20431'!$E:$E,B16,'20431'!$H:$H)+SUMIF('20478'!$E:$E,B16,'20478'!$H:$H)+SUMIF('20489'!$E:$E,B16,'20489'!$H:$H)+SUMIF('20577'!$E:$E,B16,'20577'!$H:$H)+SUMIF('20667'!$E:$E,B16,'20667'!$H:$H)+SUMIF('20668'!$E:$E,B16,'20668'!$H:$H)+SUMIF('20698'!$E:$E,B16,'20698'!$H:$H)+SUMIF('20701'!$E:$E,B16,'20701'!$H:$H)+SUMIF('20723'!$E:$E,B16,'20723'!$H:$H)+SUMIF('20724'!$E:$E,B16,'20724'!$H:$H)+SUMIF('20767'!$E:$E,B16,'20767'!$H:$H)+SUMIF('20772'!$E:$E,B16,'20772'!$H:$H)+SUMIF('20811'!$E:$E,B16,'20811'!$H:$H)+SUMIF('20812'!$E:$E,B16,'20812'!$H:$H)+SUMIF('20857'!$E:$E,B16,'20857'!$H:$H)+SUMIF('20884'!$E:$E,B16,'20884'!$H:$H)+SUMIF('20885'!$E:$E,B16,'20885'!$H:$H)+SUMIF('20911'!$E:$E,B16,'20911'!$H:$H)+SUMIF('20912'!$E:$E,B16,'20912'!$H:$H)+SUMIF('20913'!$E:$E,B16,'20913'!$H:$H)+SUMIF('20922'!$E:$E,B16,'20922'!$H:$H)+SUMIF('20924'!$E:$E,B16,'20924'!$H:$H)+SUMIF('20936'!$E:$E,B16,'20936'!$H:$H)+SUMIF('20945'!$E:$E,B16,'20945'!$H:$H)+SUMIF('20958'!$E:$E,B16,'20958'!$H:$H)+SUMIF('20982'!$E:$E,B16,'20982'!$H:$H)+SUMIF('20984'!$E:$E,B16,'20984'!$H:$H)+SUMIF('20940'!$E:$E,B16,'20940'!$H:$H)+SUMIF('20962'!$E:$E,B16,'20962'!$H:$H)+SUMIF('21004'!$E:$E,B16,'21004'!$H:$H)+SUMIF('21010'!$E:$E,B16,'21010'!$H:$H)+SUMIF('21066'!$E:$E,B16,'21066'!$H:$H)+SUMIF('21067'!$E:$E,B16,'21067'!$H:$H)+SUMIF('21068'!$E:$E,B16,'21068'!$H:$H)+SUMIF('21070'!$E:$E,B16,'21070'!$H:$H)+SUMIF('21071'!$E:$E,B16,'21071'!$H:$H)+SUMIF('21094'!$E:$E,B16,'21094'!$H:$H)+SUMIF('21108'!$E:$E,B16,'21108'!$H:$H)</f>
        <v>0</v>
      </c>
      <c r="F16" s="133"/>
    </row>
    <row r="17" spans="1:23" x14ac:dyDescent="0.4">
      <c r="B17" s="21"/>
      <c r="C17" s="250">
        <f>SUMIF('10146'!$E:$E,B17,'10146'!$H:$H)+SUMIF('20179'!$E:$E,B17,'20179'!$H:$H)+SUMIF('20431'!$E:$E,B17,'20431'!$H:$H)+SUMIF('20478'!$E:$E,B17,'20478'!$H:$H)+SUMIF('20489'!$E:$E,B17,'20489'!$H:$H)+SUMIF('20577'!$E:$E,B17,'20577'!$H:$H)+SUMIF('20667'!$E:$E,B17,'20667'!$H:$H)+SUMIF('20668'!$E:$E,B17,'20668'!$H:$H)+SUMIF('20698'!$E:$E,B17,'20698'!$H:$H)+SUMIF('20701'!$E:$E,B17,'20701'!$H:$H)+SUMIF('20723'!$E:$E,B17,'20723'!$H:$H)+SUMIF('20724'!$E:$E,B17,'20724'!$H:$H)+SUMIF('20767'!$E:$E,B17,'20767'!$H:$H)+SUMIF('20772'!$E:$E,B17,'20772'!$H:$H)+SUMIF('20811'!$E:$E,B17,'20811'!$H:$H)+SUMIF('20812'!$E:$E,B17,'20812'!$H:$H)+SUMIF('20857'!$E:$E,B17,'20857'!$H:$H)+SUMIF('20884'!$E:$E,B17,'20884'!$H:$H)+SUMIF('20885'!$E:$E,B17,'20885'!$H:$H)+SUMIF('20911'!$E:$E,B17,'20911'!$H:$H)+SUMIF('20912'!$E:$E,B17,'20912'!$H:$H)+SUMIF('20913'!$E:$E,B17,'20913'!$H:$H)+SUMIF('20922'!$E:$E,B17,'20922'!$H:$H)+SUMIF('20924'!$E:$E,B17,'20924'!$H:$H)+SUMIF('20936'!$E:$E,B17,'20936'!$H:$H)+SUMIF('20945'!$E:$E,B17,'20945'!$H:$H)+SUMIF('20958'!$E:$E,B17,'20958'!$H:$H)+SUMIF('20982'!$E:$E,B17,'20982'!$H:$H)+SUMIF('20984'!$E:$E,B17,'20984'!$H:$H)+SUMIF('20940'!$E:$E,B17,'20940'!$H:$H)+SUMIF('20962'!$E:$E,B17,'20962'!$H:$H)+SUMIF('21004'!$E:$E,B17,'21004'!$H:$H)+SUMIF('21010'!$E:$E,B17,'21010'!$H:$H)+SUMIF('21066'!$E:$E,B17,'21066'!$H:$H)+SUMIF('21067'!$E:$E,B17,'21067'!$H:$H)+SUMIF('21068'!$E:$E,B17,'21068'!$H:$H)+SUMIF('21070'!$E:$E,B17,'21070'!$H:$H)+SUMIF('21071'!$E:$E,B17,'21071'!$H:$H)+SUMIF('21094'!$E:$E,B17,'21094'!$H:$H)+SUMIF('21108'!$E:$E,B17,'21108'!$H:$H)</f>
        <v>0</v>
      </c>
      <c r="F17" s="41"/>
    </row>
    <row r="18" spans="1:23" x14ac:dyDescent="0.4">
      <c r="B18" s="21"/>
      <c r="C18" s="250">
        <f>SUMIF('10146'!$E:$E,B18,'10146'!$H:$H)+SUMIF('20179'!$E:$E,B18,'20179'!$H:$H)+SUMIF('20431'!$E:$E,B18,'20431'!$H:$H)+SUMIF('20478'!$E:$E,B18,'20478'!$H:$H)+SUMIF('20489'!$E:$E,B18,'20489'!$H:$H)+SUMIF('20577'!$E:$E,B18,'20577'!$H:$H)+SUMIF('20667'!$E:$E,B18,'20667'!$H:$H)+SUMIF('20668'!$E:$E,B18,'20668'!$H:$H)+SUMIF('20698'!$E:$E,B18,'20698'!$H:$H)+SUMIF('20701'!$E:$E,B18,'20701'!$H:$H)+SUMIF('20723'!$E:$E,B18,'20723'!$H:$H)+SUMIF('20724'!$E:$E,B18,'20724'!$H:$H)+SUMIF('20767'!$E:$E,B18,'20767'!$H:$H)+SUMIF('20772'!$E:$E,B18,'20772'!$H:$H)+SUMIF('20811'!$E:$E,B18,'20811'!$H:$H)+SUMIF('20812'!$E:$E,B18,'20812'!$H:$H)+SUMIF('20857'!$E:$E,B18,'20857'!$H:$H)+SUMIF('20884'!$E:$E,B18,'20884'!$H:$H)+SUMIF('20885'!$E:$E,B18,'20885'!$H:$H)+SUMIF('20911'!$E:$E,B18,'20911'!$H:$H)+SUMIF('20912'!$E:$E,B18,'20912'!$H:$H)+SUMIF('20913'!$E:$E,B18,'20913'!$H:$H)+SUMIF('20922'!$E:$E,B18,'20922'!$H:$H)+SUMIF('20924'!$E:$E,B18,'20924'!$H:$H)+SUMIF('20925'!$E:$E,B18,'20925'!$H:$H)+SUMIF('20936'!$E:$E,B18,'20936'!$H:$H)+SUMIF('20940'!$E:$E,B18,'20940'!$H:$H)+SUMIF('20945'!$E:$E,B18,'20945'!$H:$H)+SUMIF('20958'!$E:$E,B18,'20958'!$H:$H)+SUMIF('20962'!$E:$E,B18,'20962'!$H:$H)+SUMIF('20982'!$E:$E,B18,'20982'!$H:$H)+SUMIF('20984'!$E:$E,B18,'20984'!$H:$H)+SUMIF('21004'!$E:$E,B18,'21004'!$H:$H)+SUMIF('21010'!$E:$E,B18,'21010'!$H:$H)+SUMIF('21035'!$E:$E,B18,'21035'!$H:$H)+SUMIF('21066'!$E:$E,B18,'21066'!$H:$H)+SUMIF('21067'!$E:$E,B18,'21067'!$H:$H)+SUMIF('21068'!$E:$E,B18,'21068'!$H:$H)+SUMIF('21070'!$E:$E,B18,'21070'!$H:$H)+SUMIF('21071'!$E:$E,B18,'21071'!$H:$H)+SUMIF('21094'!$E:$E,B18,'21094'!$H:$H)+SUMIF('21108'!$E:$E,B18,'21108'!$H:$H)+SUMIF('21114'!$E:$E,B18,'21114'!$H:$H)</f>
        <v>0</v>
      </c>
      <c r="F18" s="41"/>
    </row>
    <row r="19" spans="1:23" x14ac:dyDescent="0.4">
      <c r="B19" s="21"/>
      <c r="C19" s="250">
        <f>SUMIF('10146'!$E:$E,B19,'10146'!$H:$H)+SUMIF('20179'!$E:$E,B19,'20179'!$H:$H)+SUMIF('20431'!$E:$E,B19,'20431'!$H:$H)+SUMIF('20478'!$E:$E,B19,'20478'!$H:$H)+SUMIF('20489'!$E:$E,B19,'20489'!$H:$H)+SUMIF('20577'!$E:$E,B19,'20577'!$H:$H)+SUMIF('20667'!$E:$E,B19,'20667'!$H:$H)+SUMIF('20668'!$E:$E,B19,'20668'!$H:$H)+SUMIF('20698'!$E:$E,B19,'20698'!$H:$H)+SUMIF('20701'!$E:$E,B19,'20701'!$H:$H)+SUMIF('20723'!$E:$E,B19,'20723'!$H:$H)+SUMIF('20724'!$E:$E,B19,'20724'!$H:$H)+SUMIF('20767'!$E:$E,B19,'20767'!$H:$H)+SUMIF('20772'!$E:$E,B19,'20772'!$H:$H)+SUMIF('20811'!$E:$E,B19,'20811'!$H:$H)+SUMIF('20812'!$E:$E,B19,'20812'!$H:$H)+SUMIF('20857'!$E:$E,B19,'20857'!$H:$H)+SUMIF('20884'!$E:$E,B19,'20884'!$H:$H)+SUMIF('20885'!$E:$E,B19,'20885'!$H:$H)+SUMIF('20911'!$E:$E,B19,'20911'!$H:$H)+SUMIF('20912'!$E:$E,B19,'20912'!$H:$H)+SUMIF('20913'!$E:$E,B19,'20913'!$H:$H)+SUMIF('20922'!$E:$E,B19,'20922'!$H:$H)+SUMIF('20924'!$E:$E,B19,'20924'!$H:$H)+SUMIF('20925'!$E:$E,B19,'20925'!$H:$H)+SUMIF('20936'!$E:$E,B19,'20936'!$H:$H)+SUMIF('20940'!$E:$E,B19,'20940'!$H:$H)+SUMIF('20945'!$E:$E,B19,'20945'!$H:$H)+SUMIF('20958'!$E:$E,B19,'20958'!$H:$H)+SUMIF('20962'!$E:$E,B19,'20962'!$H:$H)+SUMIF('20979'!$E:$E,B19,'20979'!$H:$H)+SUMIF('20982'!$E:$E,B19,'20982'!$H:$H)+SUMIF('20984'!$E:$E,B19,'20984'!$H:$H)+SUMIF('21004'!$E:$E,B19,'21004'!$H:$H)+SUMIF('21010'!$E:$E,B19,'21010'!$H:$H)+SUMIF('21035'!$E:$E,B19,'21035'!$H:$H)+SUMIF('21066'!$E:$E,B19,'21066'!$H:$H)+SUMIF('21067'!$E:$E,B19,'21067'!$H:$H)+SUMIF('21068'!$E:$E,B19,'21068'!$H:$H)+SUMIF('21070'!$E:$E,B19,'21070'!$H:$H)+SUMIF('21071'!$E:$E,B19,'21071'!$H:$H)+SUMIF('21094'!$E:$E,B19,'21094'!$H:$H)+SUMIF('21108'!$E:$E,B19,'21108'!$H:$H)+SUMIF('21113'!$E:$E,B19,'21113'!$H:$H)+SUMIF('21114'!$E:$E,B19,'21114'!$H:$H)</f>
        <v>0</v>
      </c>
    </row>
    <row r="20" spans="1:23" x14ac:dyDescent="0.4">
      <c r="B20" s="46"/>
      <c r="C20" s="47"/>
    </row>
    <row r="21" spans="1:23" x14ac:dyDescent="0.4">
      <c r="A21" s="68"/>
      <c r="B21" s="52" t="s">
        <v>143</v>
      </c>
      <c r="C21" s="53">
        <f>SUM(C9:C20)</f>
        <v>4311408.1400000006</v>
      </c>
      <c r="D21" s="68"/>
      <c r="H21" s="68"/>
    </row>
    <row r="23" spans="1:23" x14ac:dyDescent="0.4">
      <c r="B23" s="21" t="s">
        <v>309</v>
      </c>
      <c r="C23" s="41">
        <f>ROUNDUP('JE LOG_FY25'!C26,0)</f>
        <v>2855230</v>
      </c>
    </row>
    <row r="24" spans="1:23" x14ac:dyDescent="0.4">
      <c r="B24" s="21" t="s">
        <v>310</v>
      </c>
      <c r="C24" s="41">
        <f>F4</f>
        <v>0</v>
      </c>
      <c r="U24" s="203" t="s">
        <v>334</v>
      </c>
      <c r="V24" s="203" t="s">
        <v>335</v>
      </c>
    </row>
    <row r="25" spans="1:23" x14ac:dyDescent="0.4">
      <c r="U25" s="20"/>
      <c r="V25" s="20">
        <v>2369000</v>
      </c>
    </row>
    <row r="26" spans="1:23" x14ac:dyDescent="0.4">
      <c r="A26" s="68"/>
      <c r="B26" s="48" t="s">
        <v>135</v>
      </c>
      <c r="C26" s="49">
        <f>C5-C21+C23-C24</f>
        <v>11807641.859999999</v>
      </c>
      <c r="D26" s="68"/>
      <c r="H26" s="68"/>
      <c r="U26" s="20"/>
      <c r="V26" s="20">
        <v>1716000</v>
      </c>
    </row>
    <row r="27" spans="1:23" x14ac:dyDescent="0.4">
      <c r="U27" s="20">
        <v>222611.86</v>
      </c>
      <c r="V27" s="20"/>
    </row>
    <row r="28" spans="1:23" x14ac:dyDescent="0.4">
      <c r="U28" s="208">
        <f>SUM(U25:U27)</f>
        <v>222611.86</v>
      </c>
      <c r="V28" s="208">
        <f>SUM(V25:V27)</f>
        <v>4085000</v>
      </c>
      <c r="W28" s="209">
        <f>SUM(U28:V28)</f>
        <v>4307611.8600000003</v>
      </c>
    </row>
    <row r="29" spans="1:23" x14ac:dyDescent="0.4">
      <c r="V29" s="210">
        <f>V28-U28</f>
        <v>3862388.14</v>
      </c>
    </row>
  </sheetData>
  <hyperlinks>
    <hyperlink ref="A1" location="'Project Status'!A1" display="'Project Status'!A1" xr:uid="{B0BEBB80-EFB1-453C-8276-6D85D9E78E20}"/>
  </hyperlinks>
  <pageMargins left="0.7" right="0.7" top="0.75" bottom="0.75" header="0.3" footer="0.3"/>
  <pageSetup orientation="portrait" horizontalDpi="4294967295" verticalDpi="4294967295"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6"/>
  <sheetViews>
    <sheetView workbookViewId="0">
      <selection activeCell="B2" sqref="B2"/>
    </sheetView>
  </sheetViews>
  <sheetFormatPr defaultRowHeight="14.6" x14ac:dyDescent="0.4"/>
  <cols>
    <col min="2" max="2" width="38.07421875" bestFit="1" customWidth="1"/>
    <col min="3" max="3" width="17.07421875" bestFit="1" customWidth="1"/>
  </cols>
  <sheetData>
    <row r="1" spans="2:3" x14ac:dyDescent="0.4">
      <c r="B1" t="s">
        <v>124</v>
      </c>
      <c r="C1" t="s">
        <v>191</v>
      </c>
    </row>
    <row r="2" spans="2:3" x14ac:dyDescent="0.4">
      <c r="B2" t="s">
        <v>380</v>
      </c>
      <c r="C2" t="s">
        <v>358</v>
      </c>
    </row>
    <row r="3" spans="2:3" x14ac:dyDescent="0.4">
      <c r="B3" t="s">
        <v>10</v>
      </c>
      <c r="C3" t="s">
        <v>192</v>
      </c>
    </row>
    <row r="4" spans="2:3" x14ac:dyDescent="0.4">
      <c r="B4" t="s">
        <v>428</v>
      </c>
      <c r="C4" t="s">
        <v>192</v>
      </c>
    </row>
    <row r="5" spans="2:3" x14ac:dyDescent="0.4">
      <c r="B5" t="s">
        <v>12</v>
      </c>
      <c r="C5" t="s">
        <v>194</v>
      </c>
    </row>
    <row r="6" spans="2:3" x14ac:dyDescent="0.4">
      <c r="B6" t="s">
        <v>14</v>
      </c>
      <c r="C6" t="s">
        <v>195</v>
      </c>
    </row>
    <row r="7" spans="2:3" x14ac:dyDescent="0.4">
      <c r="B7" t="s">
        <v>15</v>
      </c>
      <c r="C7" t="s">
        <v>196</v>
      </c>
    </row>
    <row r="8" spans="2:3" x14ac:dyDescent="0.4">
      <c r="B8" t="s">
        <v>19</v>
      </c>
      <c r="C8" t="s">
        <v>197</v>
      </c>
    </row>
    <row r="9" spans="2:3" x14ac:dyDescent="0.4">
      <c r="B9" t="s">
        <v>19</v>
      </c>
      <c r="C9" t="s">
        <v>197</v>
      </c>
    </row>
    <row r="10" spans="2:3" x14ac:dyDescent="0.4">
      <c r="B10" t="s">
        <v>153</v>
      </c>
      <c r="C10" t="s">
        <v>197</v>
      </c>
    </row>
    <row r="11" spans="2:3" x14ac:dyDescent="0.4">
      <c r="B11" t="s">
        <v>21</v>
      </c>
      <c r="C11" t="s">
        <v>199</v>
      </c>
    </row>
    <row r="12" spans="2:3" x14ac:dyDescent="0.4">
      <c r="B12" t="s">
        <v>25</v>
      </c>
      <c r="C12" t="s">
        <v>198</v>
      </c>
    </row>
    <row r="13" spans="2:3" x14ac:dyDescent="0.4">
      <c r="B13" t="s">
        <v>175</v>
      </c>
      <c r="C13" t="s">
        <v>198</v>
      </c>
    </row>
    <row r="14" spans="2:3" x14ac:dyDescent="0.4">
      <c r="B14" t="s">
        <v>26</v>
      </c>
      <c r="C14" t="s">
        <v>193</v>
      </c>
    </row>
    <row r="15" spans="2:3" x14ac:dyDescent="0.4">
      <c r="B15" t="s">
        <v>603</v>
      </c>
      <c r="C15" t="s">
        <v>193</v>
      </c>
    </row>
    <row r="16" spans="2:3" x14ac:dyDescent="0.4">
      <c r="B16" t="s">
        <v>28</v>
      </c>
      <c r="C16" t="s">
        <v>200</v>
      </c>
    </row>
  </sheetData>
  <sortState xmlns:xlrd2="http://schemas.microsoft.com/office/spreadsheetml/2017/richdata2" ref="F2:F88">
    <sortCondition ref="F2:F8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N256"/>
  <sheetViews>
    <sheetView topLeftCell="A109" zoomScale="90" zoomScaleNormal="90" workbookViewId="0">
      <selection activeCell="L138" sqref="L138"/>
    </sheetView>
  </sheetViews>
  <sheetFormatPr defaultRowHeight="14.6" x14ac:dyDescent="0.4"/>
  <cols>
    <col min="1" max="1" width="4.3046875" customWidth="1"/>
    <col min="2" max="2" width="3.53515625" bestFit="1" customWidth="1"/>
    <col min="3" max="3" width="6.69140625" bestFit="1" customWidth="1"/>
    <col min="4" max="4" width="29.3046875" bestFit="1" customWidth="1"/>
    <col min="5" max="5" width="64.3046875" bestFit="1" customWidth="1"/>
    <col min="6" max="6" width="20.69140625" customWidth="1"/>
    <col min="7" max="7" width="13.84375" bestFit="1" customWidth="1"/>
    <col min="8" max="8" width="14.07421875" customWidth="1"/>
    <col min="9" max="10" width="12" style="20" customWidth="1"/>
    <col min="11" max="12" width="14.07421875" customWidth="1"/>
    <col min="13" max="13" width="11.07421875" bestFit="1" customWidth="1"/>
    <col min="14" max="14" width="10.53515625" bestFit="1" customWidth="1"/>
    <col min="15" max="15" width="30.53515625" bestFit="1" customWidth="1"/>
  </cols>
  <sheetData>
    <row r="2" spans="1:12" x14ac:dyDescent="0.4">
      <c r="A2" s="295" t="s">
        <v>276</v>
      </c>
      <c r="B2" s="147"/>
      <c r="C2" s="147" t="s">
        <v>443</v>
      </c>
      <c r="D2" s="147" t="s">
        <v>113</v>
      </c>
      <c r="E2" s="147" t="s">
        <v>87</v>
      </c>
      <c r="F2" s="218" t="s">
        <v>127</v>
      </c>
      <c r="G2" s="218" t="s">
        <v>128</v>
      </c>
      <c r="H2" s="158" t="s">
        <v>280</v>
      </c>
      <c r="I2" s="148" t="s">
        <v>246</v>
      </c>
      <c r="J2" s="148"/>
      <c r="K2" s="164" t="s">
        <v>277</v>
      </c>
      <c r="L2" s="165" t="s">
        <v>247</v>
      </c>
    </row>
    <row r="3" spans="1:12" ht="14.7" customHeight="1" x14ac:dyDescent="0.4">
      <c r="A3" s="295"/>
      <c r="B3" s="95">
        <v>1</v>
      </c>
      <c r="C3">
        <v>10085</v>
      </c>
      <c r="D3" t="str">
        <f>VLOOKUP(C3,'Project Status'!C:H,6,FALSE)</f>
        <v>ONE MAGNOLIA CIRCLE</v>
      </c>
      <c r="E3" t="str">
        <f>VLOOKUP(C3,'Project Status'!C:I,7,FALSE)</f>
        <v>One Magnolia Circle - Modify/Upgrade Electrical and Grounding</v>
      </c>
      <c r="F3" t="str">
        <f>VLOOKUP(C3,'Project Status'!C:K,9,FALSE)</f>
        <v>Finalized</v>
      </c>
      <c r="G3" t="str">
        <f>VLOOKUP(C3,'Project Status'!C:L,10,FALSE)</f>
        <v>Sean Rewers</v>
      </c>
      <c r="H3" s="296">
        <v>9364499</v>
      </c>
      <c r="I3" s="20">
        <f>VLOOKUP(C3,'Project Status'!C:S,17,FALSE)</f>
        <v>17500</v>
      </c>
      <c r="K3" s="146">
        <f>SUM(I3:J3)</f>
        <v>17500</v>
      </c>
      <c r="L3" s="169"/>
    </row>
    <row r="4" spans="1:12" x14ac:dyDescent="0.4">
      <c r="A4" s="295"/>
      <c r="B4" s="95">
        <f>B3+1</f>
        <v>2</v>
      </c>
      <c r="C4">
        <v>10098</v>
      </c>
      <c r="D4" t="str">
        <f>VLOOKUP(C4,'Project Status'!C:H,6,FALSE)</f>
        <v>MRB III BIO/SCI</v>
      </c>
      <c r="E4" t="str">
        <f>VLOOKUP(C4,'Project Status'!C:I,7,FALSE)</f>
        <v>MRB III - 4th Floor - Replace Controls (Phase 2)</v>
      </c>
      <c r="F4" t="str">
        <f>VLOOKUP(C4,'Project Status'!C:K,9,FALSE)</f>
        <v>Finalized</v>
      </c>
      <c r="G4" t="str">
        <f>VLOOKUP(C4,'Project Status'!C:L,10,FALSE)</f>
        <v>Hans Mooy</v>
      </c>
      <c r="H4" s="296"/>
      <c r="I4" s="20">
        <f>VLOOKUP(C4,'Project Status'!C:S,17,FALSE)</f>
        <v>1216485.5</v>
      </c>
      <c r="K4" s="146">
        <f t="shared" ref="K4:K31" si="0">SUM(I4:J4)</f>
        <v>1216485.5</v>
      </c>
      <c r="L4" s="169"/>
    </row>
    <row r="5" spans="1:12" x14ac:dyDescent="0.4">
      <c r="A5" s="295"/>
      <c r="B5" s="95">
        <f t="shared" ref="B5:B31" si="1">B4+1</f>
        <v>3</v>
      </c>
      <c r="C5">
        <v>10146</v>
      </c>
      <c r="D5" t="str">
        <f>VLOOKUP(C5,'Project Status'!C:H,6,FALSE)</f>
        <v>GODCHAUX HALL</v>
      </c>
      <c r="E5" t="str">
        <f>VLOOKUP(C5,'Project Status'!C:I,7,FALSE)</f>
        <v>Godchaux Hall - HVAC Upgrade</v>
      </c>
      <c r="F5" t="str">
        <f>VLOOKUP(C5,'Project Status'!C:K,9,FALSE)</f>
        <v>Financial Closeout</v>
      </c>
      <c r="G5" t="str">
        <f>VLOOKUP(C5,'Project Status'!C:L,10,FALSE)</f>
        <v>Sean Rewers</v>
      </c>
      <c r="H5" s="296"/>
      <c r="I5" s="20">
        <f>VLOOKUP(C5,'Project Status'!C:S,17,FALSE)</f>
        <v>4900</v>
      </c>
      <c r="K5" s="146">
        <f t="shared" si="0"/>
        <v>4900</v>
      </c>
      <c r="L5" s="169"/>
    </row>
    <row r="6" spans="1:12" x14ac:dyDescent="0.4">
      <c r="A6" s="295"/>
      <c r="B6" s="95">
        <f t="shared" si="1"/>
        <v>4</v>
      </c>
      <c r="C6">
        <v>20179</v>
      </c>
      <c r="D6" t="str">
        <f>VLOOKUP(C6,'Project Status'!C:H,6,FALSE)</f>
        <v>LAW SCHOOL</v>
      </c>
      <c r="E6" t="str">
        <f>VLOOKUP(C6,'Project Status'!C:I,7,FALSE)</f>
        <v>Law School - Fire Alarm System Replacement</v>
      </c>
      <c r="F6" t="str">
        <f>VLOOKUP(C6,'Project Status'!C:K,9,FALSE)</f>
        <v>Finalized</v>
      </c>
      <c r="G6" t="str">
        <f>VLOOKUP(C6,'Project Status'!C:L,10,FALSE)</f>
        <v>Bob Grummon</v>
      </c>
      <c r="H6" s="296"/>
      <c r="I6" s="20">
        <f>VLOOKUP(C6,'Project Status'!C:S,17,FALSE)</f>
        <v>722694.5</v>
      </c>
      <c r="K6" s="146">
        <f t="shared" si="0"/>
        <v>722694.5</v>
      </c>
      <c r="L6" s="169"/>
    </row>
    <row r="7" spans="1:12" x14ac:dyDescent="0.4">
      <c r="A7" s="295"/>
      <c r="B7" s="95">
        <f t="shared" si="1"/>
        <v>5</v>
      </c>
      <c r="C7">
        <v>20336</v>
      </c>
      <c r="D7" t="str">
        <f>VLOOKUP(C7,'Project Status'!C:H,6,FALSE)</f>
        <v>BLAIR SCHOOL OF MUSIC</v>
      </c>
      <c r="E7" t="str">
        <f>VLOOKUP(C7,'Project Status'!C:I,7,FALSE)</f>
        <v>Blair School of Music - Elevator #3 Modernization</v>
      </c>
      <c r="F7" t="str">
        <f>VLOOKUP(C7,'Project Status'!C:K,9,FALSE)</f>
        <v>Finalized</v>
      </c>
      <c r="G7" t="str">
        <f>VLOOKUP(C7,'Project Status'!C:L,10,FALSE)</f>
        <v>Ben Bedock</v>
      </c>
      <c r="H7" s="296"/>
      <c r="I7" s="20">
        <f>VLOOKUP(C7,'Project Status'!C:S,17,FALSE)</f>
        <v>327890</v>
      </c>
      <c r="K7" s="146">
        <f t="shared" si="0"/>
        <v>327890</v>
      </c>
      <c r="L7" s="169"/>
    </row>
    <row r="8" spans="1:12" x14ac:dyDescent="0.4">
      <c r="A8" s="295"/>
      <c r="B8" s="95">
        <f t="shared" si="1"/>
        <v>6</v>
      </c>
      <c r="C8">
        <v>20431</v>
      </c>
      <c r="D8" t="str">
        <f>VLOOKUP(C8,'Project Status'!C:H,6,FALSE)</f>
        <v>DIVINITY</v>
      </c>
      <c r="E8" t="str">
        <f>VLOOKUP(C8,'Project Status'!C:I,7,FALSE)</f>
        <v>Divinity Air Handling Unit Replacement, (5/6)- Phase 1</v>
      </c>
      <c r="F8" t="str">
        <f>VLOOKUP(C8,'Project Status'!C:K,9,FALSE)</f>
        <v>Warranty or Construction Closeout</v>
      </c>
      <c r="G8" t="str">
        <f>VLOOKUP(C8,'Project Status'!C:L,10,FALSE)</f>
        <v>Hans Mooy</v>
      </c>
      <c r="H8" s="296"/>
      <c r="I8" s="20">
        <f>VLOOKUP(C8,'Project Status'!C:S,17,FALSE)</f>
        <v>69862.5</v>
      </c>
      <c r="K8" s="146">
        <f t="shared" si="0"/>
        <v>69862.5</v>
      </c>
      <c r="L8" s="169"/>
    </row>
    <row r="9" spans="1:12" x14ac:dyDescent="0.4">
      <c r="A9" s="295"/>
      <c r="B9" s="95">
        <f t="shared" si="1"/>
        <v>7</v>
      </c>
      <c r="C9">
        <v>20478</v>
      </c>
      <c r="D9" t="str">
        <f>VLOOKUP(C9,'Project Status'!C:H,6,FALSE)</f>
        <v>BRYAN BLDG</v>
      </c>
      <c r="E9" t="str">
        <f>VLOOKUP(C9,'Project Status'!C:I,7,FALSE)</f>
        <v>Bryan Building - Swing Space Renovation - A&amp;S Planning</v>
      </c>
      <c r="F9" t="str">
        <f>VLOOKUP(C9,'Project Status'!C:K,9,FALSE)</f>
        <v>Warranty or Construction Closeout</v>
      </c>
      <c r="G9" t="str">
        <f>VLOOKUP(C9,'Project Status'!C:L,10,FALSE)</f>
        <v>Cathy Bartlett</v>
      </c>
      <c r="H9" s="296"/>
      <c r="I9" s="20">
        <f>VLOOKUP(C9,'Project Status'!C:S,17,FALSE)</f>
        <v>81100</v>
      </c>
      <c r="K9" s="146">
        <f t="shared" si="0"/>
        <v>81100</v>
      </c>
      <c r="L9" s="169"/>
    </row>
    <row r="10" spans="1:12" x14ac:dyDescent="0.4">
      <c r="A10" s="295"/>
      <c r="B10" s="95">
        <f t="shared" si="1"/>
        <v>8</v>
      </c>
      <c r="C10">
        <v>20489</v>
      </c>
      <c r="D10" t="str">
        <f>VLOOKUP(C10,'Project Status'!C:H,6,FALSE)</f>
        <v>DIVINITY</v>
      </c>
      <c r="E10" t="str">
        <f>VLOOKUP(C10,'Project Status'!C:I,7,FALSE)</f>
        <v>Divinity Air Handling Unit Replacement,(1/3) - Phase 2 with Benton - FY26</v>
      </c>
      <c r="F10" t="str">
        <f>VLOOKUP(C10,'Project Status'!C:K,9,FALSE)</f>
        <v>Construction</v>
      </c>
      <c r="G10" t="str">
        <f>VLOOKUP(C10,'Project Status'!C:L,10,FALSE)</f>
        <v>Jay Surprenant</v>
      </c>
      <c r="H10" s="296"/>
      <c r="I10" s="20">
        <f>VLOOKUP(C10,'Project Status'!C:S,17,FALSE)</f>
        <v>26500</v>
      </c>
      <c r="K10" s="146">
        <f t="shared" si="0"/>
        <v>26500</v>
      </c>
      <c r="L10" s="169"/>
    </row>
    <row r="11" spans="1:12" x14ac:dyDescent="0.4">
      <c r="A11" s="295"/>
      <c r="B11" s="95">
        <f t="shared" si="1"/>
        <v>9</v>
      </c>
      <c r="C11">
        <v>20497</v>
      </c>
      <c r="D11" t="str">
        <f>VLOOKUP(C11,'Project Status'!C:H,6,FALSE)</f>
        <v>JESUP PSYCHOLOGY</v>
      </c>
      <c r="E11" t="str">
        <f>VLOOKUP(C11,'Project Status'!C:I,7,FALSE)</f>
        <v>Jesup - Roof Replacement</v>
      </c>
      <c r="F11" t="str">
        <f>VLOOKUP(C11,'Project Status'!C:K,9,FALSE)</f>
        <v>Finalized</v>
      </c>
      <c r="G11" t="str">
        <f>VLOOKUP(C11,'Project Status'!C:L,10,FALSE)</f>
        <v>Ben Bedock</v>
      </c>
      <c r="H11" s="296"/>
      <c r="I11" s="20">
        <f>VLOOKUP(C11,'Project Status'!C:S,17,FALSE)</f>
        <v>79415.5</v>
      </c>
      <c r="K11" s="146">
        <f t="shared" si="0"/>
        <v>79415.5</v>
      </c>
      <c r="L11" s="169"/>
    </row>
    <row r="12" spans="1:12" x14ac:dyDescent="0.4">
      <c r="A12" s="295"/>
      <c r="B12" s="95">
        <f t="shared" si="1"/>
        <v>10</v>
      </c>
      <c r="C12">
        <v>20506</v>
      </c>
      <c r="D12" t="str">
        <f>VLOOKUP(C12,'Project Status'!C:H,6,FALSE)</f>
        <v>WYATT CENTER</v>
      </c>
      <c r="E12" t="str">
        <f>VLOOKUP(C12,'Project Status'!C:I,7,FALSE)</f>
        <v>Wyatt Center - Window Replacement</v>
      </c>
      <c r="F12" t="str">
        <f>VLOOKUP(C12,'Project Status'!C:K,9,FALSE)</f>
        <v>Finalized</v>
      </c>
      <c r="G12" t="str">
        <f>VLOOKUP(C12,'Project Status'!C:L,10,FALSE)</f>
        <v>Ben Bedock</v>
      </c>
      <c r="H12" s="296"/>
      <c r="I12" s="20">
        <f>VLOOKUP(C12,'Project Status'!C:S,17,FALSE)</f>
        <v>344155.26</v>
      </c>
      <c r="K12" s="146">
        <f t="shared" si="0"/>
        <v>344155.26</v>
      </c>
      <c r="L12" s="169"/>
    </row>
    <row r="13" spans="1:12" x14ac:dyDescent="0.4">
      <c r="A13" s="295"/>
      <c r="B13" s="95">
        <f t="shared" si="1"/>
        <v>11</v>
      </c>
      <c r="C13">
        <v>20562</v>
      </c>
      <c r="D13" t="str">
        <f>VLOOKUP(C13,'Project Status'!C:H,6,FALSE)</f>
        <v>WYATT CENTER</v>
      </c>
      <c r="E13" t="str">
        <f>VLOOKUP(C13,'Project Status'!C:I,7,FALSE)</f>
        <v>Wyatt Center - VAV Replacement</v>
      </c>
      <c r="F13" t="str">
        <f>VLOOKUP(C13,'Project Status'!C:K,9,FALSE)</f>
        <v>Finalized</v>
      </c>
      <c r="G13" t="str">
        <f>VLOOKUP(C13,'Project Status'!C:L,10,FALSE)</f>
        <v>Sean Rewers</v>
      </c>
      <c r="H13" s="296"/>
      <c r="I13" s="20">
        <f>VLOOKUP(C13,'Project Status'!C:S,17,FALSE)</f>
        <v>405791</v>
      </c>
      <c r="K13" s="146">
        <f t="shared" si="0"/>
        <v>405791</v>
      </c>
      <c r="L13" s="169"/>
    </row>
    <row r="14" spans="1:12" x14ac:dyDescent="0.4">
      <c r="A14" s="295"/>
      <c r="B14" s="95">
        <f t="shared" si="1"/>
        <v>12</v>
      </c>
      <c r="C14">
        <v>20566</v>
      </c>
      <c r="D14" t="str">
        <f>VLOOKUP(C14,'Project Status'!C:H,6,FALSE)</f>
        <v>SC CHEMISTRY</v>
      </c>
      <c r="E14" t="str">
        <f>VLOOKUP(C14,'Project Status'!C:I,7,FALSE)</f>
        <v>SC Chemistry (SC7) - Elevator 1 &amp; 2 Modernization</v>
      </c>
      <c r="F14" t="str">
        <f>VLOOKUP(C14,'Project Status'!C:K,9,FALSE)</f>
        <v>Finalized</v>
      </c>
      <c r="G14" t="str">
        <f>VLOOKUP(C14,'Project Status'!C:L,10,FALSE)</f>
        <v>Ben Bedock</v>
      </c>
      <c r="H14" s="296"/>
      <c r="I14" s="20">
        <f>VLOOKUP(C14,'Project Status'!C:S,17,FALSE)</f>
        <v>781870</v>
      </c>
      <c r="K14" s="146">
        <f t="shared" si="0"/>
        <v>781870</v>
      </c>
      <c r="L14" s="169"/>
    </row>
    <row r="15" spans="1:12" x14ac:dyDescent="0.4">
      <c r="A15" s="295"/>
      <c r="B15" s="95">
        <f t="shared" si="1"/>
        <v>13</v>
      </c>
      <c r="C15">
        <v>20573</v>
      </c>
      <c r="D15" t="str">
        <f>VLOOKUP(C15,'Project Status'!C:H,6,FALSE)</f>
        <v>WYATT CENTER</v>
      </c>
      <c r="E15" t="str">
        <f>VLOOKUP(C15,'Project Status'!C:I,7,FALSE)</f>
        <v>Wyatt Center - Roof Replacement</v>
      </c>
      <c r="F15" t="str">
        <f>VLOOKUP(C15,'Project Status'!C:K,9,FALSE)</f>
        <v>Finalized</v>
      </c>
      <c r="G15" t="str">
        <f>VLOOKUP(C15,'Project Status'!C:L,10,FALSE)</f>
        <v>Ben Bedock</v>
      </c>
      <c r="H15" s="296"/>
      <c r="I15" s="20">
        <f>VLOOKUP(C15,'Project Status'!C:S,17,FALSE)</f>
        <v>1232681</v>
      </c>
      <c r="K15" s="146">
        <f t="shared" si="0"/>
        <v>1232681</v>
      </c>
      <c r="L15" s="169"/>
    </row>
    <row r="16" spans="1:12" x14ac:dyDescent="0.4">
      <c r="A16" s="295"/>
      <c r="B16" s="95">
        <f t="shared" si="1"/>
        <v>14</v>
      </c>
      <c r="C16">
        <v>20574</v>
      </c>
      <c r="D16" t="str">
        <f>VLOOKUP(C16,'Project Status'!C:H,6,FALSE)</f>
        <v>MRB III BIO/SCI</v>
      </c>
      <c r="E16" t="str">
        <f>VLOOKUP(C16,'Project Status'!C:I,7,FALSE)</f>
        <v>MRB III - Steam Coil Replacement</v>
      </c>
      <c r="F16" t="str">
        <f>VLOOKUP(C16,'Project Status'!C:K,9,FALSE)</f>
        <v>Finalized</v>
      </c>
      <c r="G16" t="str">
        <f>VLOOKUP(C16,'Project Status'!C:L,10,FALSE)</f>
        <v>Sean Rewers</v>
      </c>
      <c r="H16" s="296"/>
      <c r="I16" s="20">
        <f>VLOOKUP(C16,'Project Status'!C:S,17,FALSE)</f>
        <v>218202</v>
      </c>
      <c r="K16" s="146">
        <f t="shared" si="0"/>
        <v>218202</v>
      </c>
      <c r="L16" s="169"/>
    </row>
    <row r="17" spans="1:12" x14ac:dyDescent="0.4">
      <c r="A17" s="295"/>
      <c r="B17" s="95">
        <f t="shared" si="1"/>
        <v>15</v>
      </c>
      <c r="C17">
        <v>20577</v>
      </c>
      <c r="D17" t="str">
        <f>VLOOKUP(C17,'Project Status'!C:H,6,FALSE)</f>
        <v>BLAIR SCHOOL OF MUSIC</v>
      </c>
      <c r="E17" t="str">
        <f>VLOOKUP(C17,'Project Status'!C:I,7,FALSE)</f>
        <v>Blair School of Music - AHU - 1 Replacement - Phase 1 - FY25</v>
      </c>
      <c r="F17" t="str">
        <f>VLOOKUP(C17,'Project Status'!C:K,9,FALSE)</f>
        <v>Construction</v>
      </c>
      <c r="G17" t="str">
        <f>VLOOKUP(C17,'Project Status'!C:L,10,FALSE)</f>
        <v>Jay Surprenant</v>
      </c>
      <c r="H17" s="296"/>
      <c r="I17" s="20">
        <f>VLOOKUP(C17,'Project Status'!C:S,17,FALSE)</f>
        <v>223000</v>
      </c>
      <c r="K17" s="146">
        <f t="shared" si="0"/>
        <v>223000</v>
      </c>
      <c r="L17" s="169"/>
    </row>
    <row r="18" spans="1:12" x14ac:dyDescent="0.4">
      <c r="A18" s="295"/>
      <c r="B18" s="95">
        <f t="shared" si="1"/>
        <v>16</v>
      </c>
      <c r="C18">
        <v>20644</v>
      </c>
      <c r="D18" t="str">
        <f>VLOOKUP(C18,'Project Status'!C:H,6,FALSE)</f>
        <v>PEABODY ADMINISTRATION</v>
      </c>
      <c r="E18" t="str">
        <f>VLOOKUP(C18,'Project Status'!C:I,7,FALSE)</f>
        <v>Peabody Administration - Envelope Repairs</v>
      </c>
      <c r="F18" t="str">
        <f>VLOOKUP(C18,'Project Status'!C:K,9,FALSE)</f>
        <v>Finalized</v>
      </c>
      <c r="G18" t="str">
        <f>VLOOKUP(C18,'Project Status'!C:L,10,FALSE)</f>
        <v>Ben Bedock</v>
      </c>
      <c r="H18" s="296"/>
      <c r="I18" s="20">
        <f>VLOOKUP(C18,'Project Status'!C:S,17,FALSE)</f>
        <v>630554</v>
      </c>
      <c r="K18" s="146">
        <f t="shared" si="0"/>
        <v>630554</v>
      </c>
      <c r="L18" s="169"/>
    </row>
    <row r="19" spans="1:12" x14ac:dyDescent="0.4">
      <c r="A19" s="295"/>
      <c r="B19" s="95">
        <f t="shared" si="1"/>
        <v>17</v>
      </c>
      <c r="C19">
        <v>20645</v>
      </c>
      <c r="D19" t="str">
        <f>VLOOKUP(C19,'Project Status'!C:H,6,FALSE)</f>
        <v>BENSON OLD CENTRAL</v>
      </c>
      <c r="E19" t="str">
        <f>VLOOKUP(C19,'Project Status'!C:I,7,FALSE)</f>
        <v>Benson Old Central - Replace Soffit and Doors</v>
      </c>
      <c r="F19" t="str">
        <f>VLOOKUP(C19,'Project Status'!C:K,9,FALSE)</f>
        <v>Finalized</v>
      </c>
      <c r="G19" t="str">
        <f>VLOOKUP(C19,'Project Status'!C:L,10,FALSE)</f>
        <v>Ben Bedock</v>
      </c>
      <c r="H19" s="296"/>
      <c r="I19" s="20">
        <f>VLOOKUP(C19,'Project Status'!C:S,17,FALSE)</f>
        <v>125875</v>
      </c>
      <c r="K19" s="146">
        <f t="shared" si="0"/>
        <v>125875</v>
      </c>
      <c r="L19" s="169"/>
    </row>
    <row r="20" spans="1:12" x14ac:dyDescent="0.4">
      <c r="A20" s="295"/>
      <c r="B20" s="95">
        <f t="shared" si="1"/>
        <v>18</v>
      </c>
      <c r="C20">
        <v>20667</v>
      </c>
      <c r="D20" t="str">
        <f>VLOOKUP(C20,'Project Status'!C:H,6,FALSE)</f>
        <v>1025 16TH AVE S</v>
      </c>
      <c r="E20" t="str">
        <f>VLOOKUP(C20,'Project Status'!C:I,7,FALSE)</f>
        <v>1025 16th Avenue - Mechanical and Electrical Upgrades</v>
      </c>
      <c r="F20" t="str">
        <f>VLOOKUP(C20,'Project Status'!C:K,9,FALSE)</f>
        <v>Construction</v>
      </c>
      <c r="G20" t="str">
        <f>VLOOKUP(C20,'Project Status'!C:L,10,FALSE)</f>
        <v>Kylie Mignoli</v>
      </c>
      <c r="H20" s="296"/>
      <c r="I20" s="20">
        <f>VLOOKUP(C20,'Project Status'!C:S,17,FALSE)</f>
        <v>146500</v>
      </c>
      <c r="K20" s="146">
        <f t="shared" si="0"/>
        <v>146500</v>
      </c>
      <c r="L20" s="169"/>
    </row>
    <row r="21" spans="1:12" x14ac:dyDescent="0.4">
      <c r="A21" s="295"/>
      <c r="B21" s="95">
        <f t="shared" si="1"/>
        <v>19</v>
      </c>
      <c r="C21">
        <v>20668</v>
      </c>
      <c r="D21" t="str">
        <f>VLOOKUP(C21,'Project Status'!C:H,6,FALSE)</f>
        <v>KECK FREE ELECTRON LASER CTR</v>
      </c>
      <c r="E21" t="str">
        <f>VLOOKUP(C21,'Project Status'!C:I,7,FALSE)</f>
        <v>Keck FEL - Mechanical Upgrades</v>
      </c>
      <c r="F21" t="str">
        <f>VLOOKUP(C21,'Project Status'!C:K,9,FALSE)</f>
        <v>Design</v>
      </c>
      <c r="G21" t="str">
        <f>VLOOKUP(C21,'Project Status'!C:L,10,FALSE)</f>
        <v>Sean Rewers</v>
      </c>
      <c r="H21" s="296"/>
      <c r="I21" s="20">
        <f>VLOOKUP(C21,'Project Status'!C:S,17,FALSE)</f>
        <v>206500</v>
      </c>
      <c r="K21" s="146">
        <f t="shared" si="0"/>
        <v>206500</v>
      </c>
      <c r="L21" s="169"/>
    </row>
    <row r="22" spans="1:12" x14ac:dyDescent="0.4">
      <c r="A22" s="295"/>
      <c r="B22" s="95">
        <f t="shared" si="1"/>
        <v>20</v>
      </c>
      <c r="C22">
        <v>20698</v>
      </c>
      <c r="D22" t="str">
        <f>VLOOKUP(C22,'Project Status'!C:H,6,FALSE)</f>
        <v>WILSON HALL</v>
      </c>
      <c r="E22" t="str">
        <f>VLOOKUP(C22,'Project Status'!C:I,7,FALSE)</f>
        <v>Wilson Hall - Fire Alarm Replacement</v>
      </c>
      <c r="F22" t="str">
        <f>VLOOKUP(C22,'Project Status'!C:K,9,FALSE)</f>
        <v>Finalized</v>
      </c>
      <c r="G22" t="str">
        <f>VLOOKUP(C22,'Project Status'!C:L,10,FALSE)</f>
        <v>Sean Rewers</v>
      </c>
      <c r="H22" s="296"/>
      <c r="I22" s="20">
        <f>VLOOKUP(C22,'Project Status'!C:S,17,FALSE)</f>
        <v>29250</v>
      </c>
      <c r="K22" s="146">
        <f t="shared" si="0"/>
        <v>29250</v>
      </c>
      <c r="L22" s="169"/>
    </row>
    <row r="23" spans="1:12" x14ac:dyDescent="0.4">
      <c r="A23" s="295"/>
      <c r="B23" s="95">
        <f t="shared" si="1"/>
        <v>21</v>
      </c>
      <c r="C23">
        <v>20700</v>
      </c>
      <c r="D23" t="str">
        <f>VLOOKUP(C23,'Project Status'!C:H,6,FALSE)</f>
        <v>SC CHEMISTRY</v>
      </c>
      <c r="E23" t="str">
        <f>VLOOKUP(C23,'Project Status'!C:I,7,FALSE)</f>
        <v>SC-7 Chemistry - SG-1 Removal and Connection to Central Plant Steam</v>
      </c>
      <c r="F23" t="str">
        <f>VLOOKUP(C23,'Project Status'!C:K,9,FALSE)</f>
        <v>Finalized</v>
      </c>
      <c r="G23" t="str">
        <f>VLOOKUP(C23,'Project Status'!C:L,10,FALSE)</f>
        <v>Sean Rewers</v>
      </c>
      <c r="H23" s="296"/>
      <c r="I23" s="20">
        <f>VLOOKUP(C23,'Project Status'!C:S,17,FALSE)</f>
        <v>79623</v>
      </c>
      <c r="K23" s="146">
        <f t="shared" si="0"/>
        <v>79623</v>
      </c>
      <c r="L23" s="169"/>
    </row>
    <row r="24" spans="1:12" x14ac:dyDescent="0.4">
      <c r="A24" s="295"/>
      <c r="B24" s="95">
        <f t="shared" si="1"/>
        <v>22</v>
      </c>
      <c r="C24">
        <v>20701</v>
      </c>
      <c r="D24" t="str">
        <f>VLOOKUP(C24,'Project Status'!C:H,6,FALSE)</f>
        <v>SC SCIENCE &amp; ENGINEERING</v>
      </c>
      <c r="E24" t="str">
        <f>VLOOKUP(C24,'Project Status'!C:I,7,FALSE)</f>
        <v>SC-5 - Chemical Discharge Replacement</v>
      </c>
      <c r="F24" t="str">
        <f>VLOOKUP(C24,'Project Status'!C:K,9,FALSE)</f>
        <v>Financial Closeout</v>
      </c>
      <c r="G24" t="str">
        <f>VLOOKUP(C24,'Project Status'!C:L,10,FALSE)</f>
        <v>Sean Rewers</v>
      </c>
      <c r="H24" s="296"/>
      <c r="I24" s="20">
        <f>VLOOKUP(C24,'Project Status'!C:S,17,FALSE)</f>
        <v>499093</v>
      </c>
      <c r="K24" s="146">
        <f t="shared" si="0"/>
        <v>499093</v>
      </c>
      <c r="L24" s="169"/>
    </row>
    <row r="25" spans="1:12" x14ac:dyDescent="0.4">
      <c r="A25" s="295"/>
      <c r="B25" s="95">
        <f t="shared" si="1"/>
        <v>23</v>
      </c>
      <c r="C25">
        <v>20702</v>
      </c>
      <c r="D25" t="str">
        <f>VLOOKUP(C25,'Project Status'!C:H,6,FALSE)</f>
        <v>WYATT CENTER</v>
      </c>
      <c r="E25" t="str">
        <f>VLOOKUP(C25,'Project Status'!C:I,7,FALSE)</f>
        <v>Wyatt Center - Elevator #2 Modernization</v>
      </c>
      <c r="F25" t="str">
        <f>VLOOKUP(C25,'Project Status'!C:K,9,FALSE)</f>
        <v>Finalized</v>
      </c>
      <c r="G25" t="str">
        <f>VLOOKUP(C25,'Project Status'!C:L,10,FALSE)</f>
        <v>Ben Bedock</v>
      </c>
      <c r="H25" s="296"/>
      <c r="I25" s="20">
        <f>VLOOKUP(C25,'Project Status'!C:S,17,FALSE)</f>
        <v>239341</v>
      </c>
      <c r="K25" s="146">
        <f t="shared" si="0"/>
        <v>239341</v>
      </c>
      <c r="L25" s="169"/>
    </row>
    <row r="26" spans="1:12" x14ac:dyDescent="0.4">
      <c r="A26" s="295"/>
      <c r="B26" s="95">
        <f t="shared" si="1"/>
        <v>24</v>
      </c>
      <c r="C26">
        <v>20718</v>
      </c>
      <c r="D26" t="str">
        <f>VLOOKUP(C26,'Project Status'!C:H,6,FALSE)</f>
        <v>BUTTRICK HALL</v>
      </c>
      <c r="E26" t="str">
        <f>VLOOKUP(C26,'Project Status'!C:I,7,FALSE)</f>
        <v>Buttrick Hall - 3rd Floor Inequality Renovations</v>
      </c>
      <c r="F26" t="str">
        <f>VLOOKUP(C26,'Project Status'!C:K,9,FALSE)</f>
        <v>Finalized</v>
      </c>
      <c r="G26" t="str">
        <f>VLOOKUP(C26,'Project Status'!C:L,10,FALSE)</f>
        <v>Erin Fry</v>
      </c>
      <c r="H26" s="296"/>
      <c r="I26" s="20">
        <f>VLOOKUP(C26,'Project Status'!C:S,17,FALSE)</f>
        <v>96166</v>
      </c>
      <c r="K26" s="146">
        <f t="shared" si="0"/>
        <v>96166</v>
      </c>
      <c r="L26" s="169"/>
    </row>
    <row r="27" spans="1:12" x14ac:dyDescent="0.4">
      <c r="A27" s="295"/>
      <c r="B27" s="95">
        <f t="shared" si="1"/>
        <v>25</v>
      </c>
      <c r="C27">
        <v>20723</v>
      </c>
      <c r="D27" t="str">
        <f>VLOOKUP(C27,'Project Status'!C:H,6,FALSE)</f>
        <v>MRB III BIO/SCI</v>
      </c>
      <c r="E27" t="str">
        <f>VLOOKUP(C27,'Project Status'!C:I,7,FALSE)</f>
        <v>MRB III - 9th Floor (with 4 ,5 &amp; 8) - Replace Controls (Phase 3)</v>
      </c>
      <c r="F27" t="str">
        <f>VLOOKUP(C27,'Project Status'!C:K,9,FALSE)</f>
        <v>Construction</v>
      </c>
      <c r="G27" t="str">
        <f>VLOOKUP(C27,'Project Status'!C:L,10,FALSE)</f>
        <v>Jay Surprenant</v>
      </c>
      <c r="H27" s="296"/>
      <c r="I27" s="20">
        <f>VLOOKUP(C27,'Project Status'!C:S,17,FALSE)</f>
        <v>160500</v>
      </c>
      <c r="K27" s="146">
        <f t="shared" si="0"/>
        <v>160500</v>
      </c>
      <c r="L27" s="169"/>
    </row>
    <row r="28" spans="1:12" x14ac:dyDescent="0.4">
      <c r="A28" s="295"/>
      <c r="B28" s="95">
        <f t="shared" si="1"/>
        <v>26</v>
      </c>
      <c r="C28">
        <v>20724</v>
      </c>
      <c r="D28" t="str">
        <f>VLOOKUP(C28,'Project Status'!C:H,6,FALSE)</f>
        <v>BLAIR SCHOOL OF MUSIC</v>
      </c>
      <c r="E28" t="str">
        <f>VLOOKUP(C28,'Project Status'!C:I,7,FALSE)</f>
        <v>Blair School of Music - Steam Line - FY 23</v>
      </c>
      <c r="F28" t="str">
        <f>VLOOKUP(C28,'Project Status'!C:K,9,FALSE)</f>
        <v>Financial Closeout</v>
      </c>
      <c r="G28" t="str">
        <f>VLOOKUP(C28,'Project Status'!C:L,10,FALSE)</f>
        <v>Hans Mooy</v>
      </c>
      <c r="H28" s="296"/>
      <c r="I28" s="20">
        <f>VLOOKUP(C28,'Project Status'!C:S,17,FALSE)</f>
        <v>23400</v>
      </c>
      <c r="K28" s="146">
        <f t="shared" si="0"/>
        <v>23400</v>
      </c>
      <c r="L28" s="169"/>
    </row>
    <row r="29" spans="1:12" x14ac:dyDescent="0.4">
      <c r="A29" s="295"/>
      <c r="B29" s="95">
        <f t="shared" si="1"/>
        <v>27</v>
      </c>
      <c r="C29">
        <v>20735</v>
      </c>
      <c r="D29" t="str">
        <f>VLOOKUP(C29,'Project Status'!C:H,6,FALSE)</f>
        <v>OWEN GRAD MGMT</v>
      </c>
      <c r="E29" t="str">
        <f>VLOOKUP(C29,'Project Status'!C:I,7,FALSE)</f>
        <v>Owen - Roof Replacement (Third Level)</v>
      </c>
      <c r="F29" t="str">
        <f>VLOOKUP(C29,'Project Status'!C:K,9,FALSE)</f>
        <v>Finalized</v>
      </c>
      <c r="G29" t="str">
        <f>VLOOKUP(C29,'Project Status'!C:L,10,FALSE)</f>
        <v>Ben Bedock</v>
      </c>
      <c r="H29" s="296"/>
      <c r="I29" s="20">
        <f>VLOOKUP(C29,'Project Status'!C:S,17,FALSE)</f>
        <v>300000</v>
      </c>
      <c r="K29" s="146">
        <f t="shared" si="0"/>
        <v>300000</v>
      </c>
      <c r="L29" s="169"/>
    </row>
    <row r="30" spans="1:12" x14ac:dyDescent="0.4">
      <c r="A30" s="295"/>
      <c r="B30" s="95">
        <f t="shared" si="1"/>
        <v>28</v>
      </c>
      <c r="C30">
        <v>20771</v>
      </c>
      <c r="D30" t="str">
        <f>VLOOKUP(C30,'Project Status'!C:H,6,FALSE)</f>
        <v>SC CHEMISTRY</v>
      </c>
      <c r="E30" t="str">
        <f>VLOOKUP(C30,'Project Status'!C:I,7,FALSE)</f>
        <v>SC4 - Interstitial Space HVAC Modifications</v>
      </c>
      <c r="F30" t="str">
        <f>VLOOKUP(C30,'Project Status'!C:K,9,FALSE)</f>
        <v>Finalized</v>
      </c>
      <c r="G30" t="str">
        <f>VLOOKUP(C30,'Project Status'!C:L,10,FALSE)</f>
        <v>Sean Rewers</v>
      </c>
      <c r="H30" s="296"/>
      <c r="I30" s="20">
        <f>VLOOKUP(C30,'Project Status'!C:S,17,FALSE)</f>
        <v>24997</v>
      </c>
      <c r="K30" s="146">
        <f t="shared" si="0"/>
        <v>24997</v>
      </c>
      <c r="L30" s="169"/>
    </row>
    <row r="31" spans="1:12" x14ac:dyDescent="0.4">
      <c r="A31" s="295"/>
      <c r="B31" s="95">
        <f t="shared" si="1"/>
        <v>29</v>
      </c>
      <c r="C31">
        <v>20792</v>
      </c>
      <c r="D31" t="str">
        <f>VLOOKUP(C31,'Project Status'!C:H,6,FALSE)</f>
        <v>LAW SCHOOL</v>
      </c>
      <c r="E31" t="str">
        <f>VLOOKUP(C31,'Project Status'!C:I,7,FALSE)</f>
        <v>Law School - Sections 1, 2, &amp; 3  Roof Replacement</v>
      </c>
      <c r="F31" t="str">
        <f>VLOOKUP(C31,'Project Status'!C:K,9,FALSE)</f>
        <v>Finalized</v>
      </c>
      <c r="G31" t="str">
        <f>VLOOKUP(C31,'Project Status'!C:L,10,FALSE)</f>
        <v>Ben Bedock</v>
      </c>
      <c r="H31" s="296"/>
      <c r="I31" s="20">
        <f>VLOOKUP(C31,'Project Status'!C:S,17,FALSE)</f>
        <v>483440</v>
      </c>
      <c r="K31" s="146">
        <f t="shared" si="0"/>
        <v>483440</v>
      </c>
      <c r="L31" s="169"/>
    </row>
    <row r="32" spans="1:12" x14ac:dyDescent="0.4">
      <c r="H32" s="296"/>
      <c r="I32" s="149">
        <f t="shared" ref="I32:J32" si="2">SUM(I3:I31)</f>
        <v>8797286.2599999998</v>
      </c>
      <c r="J32" s="149">
        <f t="shared" si="2"/>
        <v>0</v>
      </c>
      <c r="K32" s="149">
        <f>SUM(K3:K31)</f>
        <v>8797286.2599999998</v>
      </c>
      <c r="L32" s="149">
        <f>H3-K32</f>
        <v>567212.74000000022</v>
      </c>
    </row>
    <row r="33" spans="1:13" x14ac:dyDescent="0.4">
      <c r="I33" s="222" t="b">
        <f>I32='Project Status'!S91</f>
        <v>1</v>
      </c>
    </row>
    <row r="34" spans="1:13" x14ac:dyDescent="0.4">
      <c r="A34" s="297" t="s">
        <v>279</v>
      </c>
      <c r="B34" s="150"/>
      <c r="C34" s="150" t="s">
        <v>443</v>
      </c>
      <c r="D34" s="150" t="s">
        <v>113</v>
      </c>
      <c r="E34" s="150" t="s">
        <v>87</v>
      </c>
      <c r="F34" s="219" t="s">
        <v>127</v>
      </c>
      <c r="G34" s="219" t="s">
        <v>128</v>
      </c>
      <c r="H34" s="159" t="s">
        <v>280</v>
      </c>
      <c r="I34" s="151" t="s">
        <v>246</v>
      </c>
      <c r="J34" s="151"/>
      <c r="K34" s="163" t="s">
        <v>277</v>
      </c>
      <c r="L34" s="162" t="s">
        <v>247</v>
      </c>
    </row>
    <row r="35" spans="1:13" ht="14.7" customHeight="1" x14ac:dyDescent="0.4">
      <c r="A35" s="297"/>
      <c r="B35" s="95">
        <v>1</v>
      </c>
      <c r="C35">
        <v>10146</v>
      </c>
      <c r="D35" t="str">
        <f>VLOOKUP(C35,'Project Status'!C:H,6,FALSE)</f>
        <v>GODCHAUX HALL</v>
      </c>
      <c r="E35" s="3" t="str">
        <f>VLOOKUP(C35,'Project Status'!C:I,7,FALSE)</f>
        <v>Godchaux Hall - HVAC Upgrade</v>
      </c>
      <c r="F35" s="3" t="str">
        <f>VLOOKUP(C35,'Project Status'!C:K,9,FALSE)</f>
        <v>Financial Closeout</v>
      </c>
      <c r="G35" s="3" t="str">
        <f>VLOOKUP(C35,'Project Status'!C:L,10,FALSE)</f>
        <v>Sean Rewers</v>
      </c>
      <c r="H35" s="298">
        <f>Contributions!G15</f>
        <v>11029283.289999999</v>
      </c>
      <c r="I35" s="204">
        <f>VLOOKUP(C35,'Project Status'!C:T,18,FALSE)</f>
        <v>255957</v>
      </c>
      <c r="J35" s="184"/>
      <c r="K35" s="154">
        <f>IF(J35="TBD",J35,SUM(I35:J35))</f>
        <v>255957</v>
      </c>
      <c r="L35" s="168"/>
    </row>
    <row r="36" spans="1:13" x14ac:dyDescent="0.4">
      <c r="A36" s="297"/>
      <c r="B36" s="95">
        <f>B35+1</f>
        <v>2</v>
      </c>
      <c r="C36">
        <v>20431</v>
      </c>
      <c r="D36" t="str">
        <f>VLOOKUP(C36,'Project Status'!C:H,6,FALSE)</f>
        <v>DIVINITY</v>
      </c>
      <c r="E36" s="3" t="str">
        <f>VLOOKUP(C36,'Project Status'!C:I,7,FALSE)</f>
        <v>Divinity Air Handling Unit Replacement, (5/6)- Phase 1</v>
      </c>
      <c r="F36" s="3" t="str">
        <f>VLOOKUP(C36,'Project Status'!C:K,9,FALSE)</f>
        <v>Warranty or Construction Closeout</v>
      </c>
      <c r="G36" s="3" t="str">
        <f>VLOOKUP(C36,'Project Status'!C:L,10,FALSE)</f>
        <v>Hans Mooy</v>
      </c>
      <c r="H36" s="298"/>
      <c r="I36" s="204">
        <f>VLOOKUP(C36,'Project Status'!C:T,18,FALSE)</f>
        <v>3660360</v>
      </c>
      <c r="J36" s="184"/>
      <c r="K36" s="154">
        <f t="shared" ref="K36:K56" si="3">IF(J36="TBD",J36,SUM(I36:J36))</f>
        <v>3660360</v>
      </c>
      <c r="L36" s="168"/>
    </row>
    <row r="37" spans="1:13" x14ac:dyDescent="0.4">
      <c r="A37" s="297"/>
      <c r="B37" s="95">
        <f t="shared" ref="B37:B59" si="4">B36+1</f>
        <v>3</v>
      </c>
      <c r="C37">
        <v>20478</v>
      </c>
      <c r="D37" t="str">
        <f>VLOOKUP(C37,'Project Status'!C:H,6,FALSE)</f>
        <v>BRYAN BLDG</v>
      </c>
      <c r="E37" s="3" t="str">
        <f>VLOOKUP(C37,'Project Status'!C:I,7,FALSE)</f>
        <v>Bryan Building - Swing Space Renovation - A&amp;S Planning</v>
      </c>
      <c r="F37" s="3" t="str">
        <f>VLOOKUP(C37,'Project Status'!C:K,9,FALSE)</f>
        <v>Warranty or Construction Closeout</v>
      </c>
      <c r="G37" s="3" t="str">
        <f>VLOOKUP(C37,'Project Status'!C:L,10,FALSE)</f>
        <v>Cathy Bartlett</v>
      </c>
      <c r="H37" s="298"/>
      <c r="I37" s="204">
        <f>VLOOKUP(C37,'Project Status'!C:T,18,FALSE)</f>
        <v>1028900</v>
      </c>
      <c r="J37" s="184"/>
      <c r="K37" s="154">
        <f t="shared" si="3"/>
        <v>1028900</v>
      </c>
      <c r="L37" s="168"/>
    </row>
    <row r="38" spans="1:13" x14ac:dyDescent="0.4">
      <c r="A38" s="297"/>
      <c r="B38" s="95">
        <f t="shared" si="4"/>
        <v>4</v>
      </c>
      <c r="C38">
        <v>20668</v>
      </c>
      <c r="D38" t="str">
        <f>VLOOKUP(C38,'Project Status'!C:H,6,FALSE)</f>
        <v>KECK FREE ELECTRON LASER CTR</v>
      </c>
      <c r="E38" s="3" t="str">
        <f>VLOOKUP(C38,'Project Status'!C:I,7,FALSE)</f>
        <v>Keck FEL - Mechanical Upgrades</v>
      </c>
      <c r="F38" s="3" t="str">
        <f>VLOOKUP(C38,'Project Status'!C:K,9,FALSE)</f>
        <v>Design</v>
      </c>
      <c r="G38" s="3" t="str">
        <f>VLOOKUP(C38,'Project Status'!C:L,10,FALSE)</f>
        <v>Sean Rewers</v>
      </c>
      <c r="H38" s="298"/>
      <c r="I38" s="204">
        <f>VLOOKUP(C38,'Project Status'!C:T,18,FALSE)</f>
        <v>24933</v>
      </c>
      <c r="J38" s="184"/>
      <c r="K38" s="154">
        <f t="shared" si="3"/>
        <v>24933</v>
      </c>
      <c r="L38" s="168"/>
    </row>
    <row r="39" spans="1:13" x14ac:dyDescent="0.4">
      <c r="A39" s="297"/>
      <c r="B39" s="95">
        <f t="shared" si="4"/>
        <v>5</v>
      </c>
      <c r="C39">
        <v>20698</v>
      </c>
      <c r="D39" t="str">
        <f>VLOOKUP(C39,'Project Status'!C:H,6,FALSE)</f>
        <v>WILSON HALL</v>
      </c>
      <c r="E39" s="3" t="str">
        <f>VLOOKUP(C39,'Project Status'!C:I,7,FALSE)</f>
        <v>Wilson Hall - Fire Alarm Replacement</v>
      </c>
      <c r="F39" s="3" t="str">
        <f>VLOOKUP(C39,'Project Status'!C:K,9,FALSE)</f>
        <v>Finalized</v>
      </c>
      <c r="G39" s="3" t="str">
        <f>VLOOKUP(C39,'Project Status'!C:L,10,FALSE)</f>
        <v>Sean Rewers</v>
      </c>
      <c r="H39" s="298"/>
      <c r="I39" s="204">
        <f>VLOOKUP(C39,'Project Status'!C:T,18,FALSE)</f>
        <v>649263</v>
      </c>
      <c r="J39" s="184"/>
      <c r="K39" s="154">
        <f t="shared" si="3"/>
        <v>649263</v>
      </c>
      <c r="L39" s="168"/>
    </row>
    <row r="40" spans="1:13" x14ac:dyDescent="0.4">
      <c r="A40" s="297"/>
      <c r="B40" s="95">
        <f t="shared" si="4"/>
        <v>6</v>
      </c>
      <c r="C40">
        <v>20700</v>
      </c>
      <c r="D40" t="str">
        <f>VLOOKUP(C40,'Project Status'!C:H,6,FALSE)</f>
        <v>SC CHEMISTRY</v>
      </c>
      <c r="E40" s="3" t="str">
        <f>VLOOKUP(C40,'Project Status'!C:I,7,FALSE)</f>
        <v>SC-7 Chemistry - SG-1 Removal and Connection to Central Plant Steam</v>
      </c>
      <c r="F40" s="3" t="str">
        <f>VLOOKUP(C40,'Project Status'!C:K,9,FALSE)</f>
        <v>Finalized</v>
      </c>
      <c r="G40" s="3" t="str">
        <f>VLOOKUP(C40,'Project Status'!C:L,10,FALSE)</f>
        <v>Sean Rewers</v>
      </c>
      <c r="H40" s="298"/>
      <c r="I40" s="204">
        <f>VLOOKUP(C40,'Project Status'!C:T,18,FALSE)</f>
        <v>5954</v>
      </c>
      <c r="J40" s="184"/>
      <c r="K40" s="154">
        <f t="shared" si="3"/>
        <v>5954</v>
      </c>
      <c r="L40" s="168"/>
    </row>
    <row r="41" spans="1:13" x14ac:dyDescent="0.4">
      <c r="A41" s="297"/>
      <c r="B41" s="95">
        <f t="shared" si="4"/>
        <v>7</v>
      </c>
      <c r="C41">
        <v>20724</v>
      </c>
      <c r="D41" t="str">
        <f>VLOOKUP(C41,'Project Status'!C:H,6,FALSE)</f>
        <v>BLAIR SCHOOL OF MUSIC</v>
      </c>
      <c r="E41" s="3" t="str">
        <f>VLOOKUP(C41,'Project Status'!C:I,7,FALSE)</f>
        <v>Blair School of Music - Steam Line - FY 23</v>
      </c>
      <c r="F41" s="3" t="str">
        <f>VLOOKUP(C41,'Project Status'!C:K,9,FALSE)</f>
        <v>Financial Closeout</v>
      </c>
      <c r="G41" s="3" t="str">
        <f>VLOOKUP(C41,'Project Status'!C:L,10,FALSE)</f>
        <v>Hans Mooy</v>
      </c>
      <c r="H41" s="298"/>
      <c r="I41" s="204">
        <f>VLOOKUP(C41,'Project Status'!C:T,18,FALSE)</f>
        <v>1964100</v>
      </c>
      <c r="J41" s="184"/>
      <c r="K41" s="154">
        <f t="shared" si="3"/>
        <v>1964100</v>
      </c>
      <c r="L41" s="168"/>
      <c r="M41" s="146"/>
    </row>
    <row r="42" spans="1:13" x14ac:dyDescent="0.4">
      <c r="A42" s="297"/>
      <c r="B42" s="95">
        <f t="shared" si="4"/>
        <v>8</v>
      </c>
      <c r="C42">
        <v>20767</v>
      </c>
      <c r="D42" t="str">
        <f>VLOOKUP(C42,'Project Status'!C:H,6,FALSE)</f>
        <v>SIX MAGNOLIA CIRCLE</v>
      </c>
      <c r="E42" s="3" t="str">
        <f>VLOOKUP(C42,'Project Status'!C:I,7,FALSE)</f>
        <v>Six Magnolia Circle - Foundation Repairs</v>
      </c>
      <c r="F42" s="3" t="str">
        <f>VLOOKUP(C42,'Project Status'!C:K,9,FALSE)</f>
        <v>Warranty or Construction Closeout</v>
      </c>
      <c r="G42" s="3" t="str">
        <f>VLOOKUP(C42,'Project Status'!C:L,10,FALSE)</f>
        <v>Jay Surprenant</v>
      </c>
      <c r="H42" s="298"/>
      <c r="I42" s="204">
        <f>VLOOKUP(C42,'Project Status'!C:T,18,FALSE)</f>
        <v>148299</v>
      </c>
      <c r="J42" s="184"/>
      <c r="K42" s="154">
        <f t="shared" si="3"/>
        <v>148299</v>
      </c>
      <c r="L42" s="168"/>
    </row>
    <row r="43" spans="1:13" x14ac:dyDescent="0.4">
      <c r="A43" s="297"/>
      <c r="B43" s="95">
        <f t="shared" si="4"/>
        <v>9</v>
      </c>
      <c r="C43">
        <v>20772</v>
      </c>
      <c r="D43" t="str">
        <f>VLOOKUP(C43,'Project Status'!C:H,6,FALSE)</f>
        <v>OWEN GRAD MGMT</v>
      </c>
      <c r="E43" s="3" t="str">
        <f>VLOOKUP(C43,'Project Status'!C:I,7,FALSE)</f>
        <v>OGSM Old Mechanical- Slate Roof &amp; Window Replacement</v>
      </c>
      <c r="F43" s="3" t="str">
        <f>VLOOKUP(C43,'Project Status'!C:K,9,FALSE)</f>
        <v>Financial Closeout</v>
      </c>
      <c r="G43" s="3" t="str">
        <f>VLOOKUP(C43,'Project Status'!C:L,10,FALSE)</f>
        <v>Ben Bedock</v>
      </c>
      <c r="H43" s="298"/>
      <c r="I43" s="204">
        <f>VLOOKUP(C43,'Project Status'!C:T,18,FALSE)</f>
        <v>1600000</v>
      </c>
      <c r="J43" s="184"/>
      <c r="K43" s="154">
        <f t="shared" ref="K43" si="5">IF(J43="TBD",J43,SUM(I43:J43))</f>
        <v>1600000</v>
      </c>
      <c r="L43" s="168"/>
    </row>
    <row r="44" spans="1:13" x14ac:dyDescent="0.4">
      <c r="A44" s="297"/>
      <c r="B44" s="95">
        <f t="shared" si="4"/>
        <v>10</v>
      </c>
      <c r="C44">
        <v>20811</v>
      </c>
      <c r="D44" t="str">
        <f>VLOOKUP(C44,'Project Status'!C:H,6,FALSE)</f>
        <v>ONE MAGNOLIA CIRCLE</v>
      </c>
      <c r="E44" s="3" t="str">
        <f>VLOOKUP(C44,'Project Status'!C:I,7,FALSE)</f>
        <v>One Magnolia Circle - Retaining Wall Repair</v>
      </c>
      <c r="F44" s="3" t="str">
        <f>VLOOKUP(C44,'Project Status'!C:K,9,FALSE)</f>
        <v>Financial Closeout</v>
      </c>
      <c r="G44" s="3" t="str">
        <f>VLOOKUP(C44,'Project Status'!C:L,10,FALSE)</f>
        <v>Ben Bedock</v>
      </c>
      <c r="H44" s="298"/>
      <c r="I44" s="204">
        <f>VLOOKUP(C44,'Project Status'!C:T,18,FALSE)</f>
        <v>285233.27</v>
      </c>
      <c r="J44" s="184"/>
      <c r="K44" s="154">
        <f t="shared" si="3"/>
        <v>285233.27</v>
      </c>
      <c r="L44" s="168"/>
    </row>
    <row r="45" spans="1:13" x14ac:dyDescent="0.4">
      <c r="A45" s="297"/>
      <c r="B45" s="95">
        <f t="shared" si="4"/>
        <v>11</v>
      </c>
      <c r="C45">
        <v>20831</v>
      </c>
      <c r="D45" t="str">
        <f>VLOOKUP(C45,'Project Status'!C:H,6,FALSE)</f>
        <v>SC PHYSICS &amp; ASTRONOMY</v>
      </c>
      <c r="E45" s="3" t="str">
        <f>VLOOKUP(C45,'Project Status'!C:I,7,FALSE)</f>
        <v>SC6 - HVAC Upgrades - Feasibility Study</v>
      </c>
      <c r="F45" s="3" t="str">
        <f>VLOOKUP(C45,'Project Status'!C:K,9,FALSE)</f>
        <v>Finalized</v>
      </c>
      <c r="G45" s="3" t="str">
        <f>VLOOKUP(C45,'Project Status'!C:L,10,FALSE)</f>
        <v>Sean Rewers</v>
      </c>
      <c r="H45" s="298"/>
      <c r="I45" s="204">
        <f>VLOOKUP(C45,'Project Status'!C:T,18,FALSE)</f>
        <v>24000</v>
      </c>
      <c r="J45" s="184"/>
      <c r="K45" s="154">
        <f t="shared" si="3"/>
        <v>24000</v>
      </c>
      <c r="L45" s="168"/>
    </row>
    <row r="46" spans="1:13" x14ac:dyDescent="0.4">
      <c r="A46" s="297"/>
      <c r="B46" s="95">
        <f t="shared" si="4"/>
        <v>12</v>
      </c>
      <c r="C46">
        <v>20832</v>
      </c>
      <c r="D46" t="str">
        <f>VLOOKUP(C46,'Project Status'!C:H,6,FALSE)</f>
        <v>WILSON HALL</v>
      </c>
      <c r="E46" s="3" t="str">
        <f>VLOOKUP(C46,'Project Status'!C:I,7,FALSE)</f>
        <v>Wilson Hall - HVAC Replacement</v>
      </c>
      <c r="F46" s="3" t="str">
        <f>VLOOKUP(C46,'Project Status'!C:K,9,FALSE)</f>
        <v>Finalized</v>
      </c>
      <c r="G46" s="3" t="str">
        <f>VLOOKUP(C46,'Project Status'!C:L,10,FALSE)</f>
        <v>Sean Rewers</v>
      </c>
      <c r="H46" s="298"/>
      <c r="I46" s="204">
        <f>VLOOKUP(C46,'Project Status'!C:T,18,FALSE)</f>
        <v>24000</v>
      </c>
      <c r="J46" s="184"/>
      <c r="K46" s="154">
        <f t="shared" si="3"/>
        <v>24000</v>
      </c>
      <c r="L46" s="168"/>
    </row>
    <row r="47" spans="1:13" x14ac:dyDescent="0.4">
      <c r="A47" s="297"/>
      <c r="B47" s="95">
        <f t="shared" si="4"/>
        <v>13</v>
      </c>
      <c r="C47">
        <v>20833</v>
      </c>
      <c r="D47" t="str">
        <f>VLOOKUP(C47,'Project Status'!C:H,6,FALSE)</f>
        <v>SC SCIENCE &amp; ENGINEERING</v>
      </c>
      <c r="E47" s="3" t="str">
        <f>VLOOKUP(C47,'Project Status'!C:I,7,FALSE)</f>
        <v>SC5 - HVAC Replacement (Design Services)</v>
      </c>
      <c r="F47" s="3" t="str">
        <f>VLOOKUP(C47,'Project Status'!C:K,9,FALSE)</f>
        <v>Finalized</v>
      </c>
      <c r="G47" s="3" t="str">
        <f>VLOOKUP(C47,'Project Status'!C:L,10,FALSE)</f>
        <v>Sean Rewers</v>
      </c>
      <c r="H47" s="298"/>
      <c r="I47" s="204">
        <f>VLOOKUP(C47,'Project Status'!C:T,18,FALSE)</f>
        <v>24000</v>
      </c>
      <c r="J47" s="184"/>
      <c r="K47" s="154">
        <f t="shared" si="3"/>
        <v>24000</v>
      </c>
      <c r="L47" s="168"/>
    </row>
    <row r="48" spans="1:13" x14ac:dyDescent="0.4">
      <c r="A48" s="297"/>
      <c r="B48" s="95">
        <f t="shared" si="4"/>
        <v>14</v>
      </c>
      <c r="C48">
        <v>20857</v>
      </c>
      <c r="D48" t="str">
        <f>VLOOKUP(C48,'Project Status'!C:H,6,FALSE)</f>
        <v>ONE MAGNOLIA CIRCLE</v>
      </c>
      <c r="E48" s="3" t="str">
        <f>VLOOKUP(C48,'Project Status'!C:I,7,FALSE)</f>
        <v>One Magnolia Circle - Elevator Modernization</v>
      </c>
      <c r="F48" s="3" t="str">
        <f>VLOOKUP(C48,'Project Status'!C:K,9,FALSE)</f>
        <v>Construction Closeout</v>
      </c>
      <c r="G48" s="3" t="str">
        <f>VLOOKUP(C48,'Project Status'!C:L,10,FALSE)</f>
        <v>Ben Bedock</v>
      </c>
      <c r="H48" s="298"/>
      <c r="I48" s="204">
        <f>VLOOKUP(C48,'Project Status'!C:T,18,FALSE)</f>
        <v>499184</v>
      </c>
      <c r="J48" s="184"/>
      <c r="K48" s="154">
        <f t="shared" ref="K48" si="6">IF(J48="TBD",J48,SUM(I48:J48))</f>
        <v>499184</v>
      </c>
      <c r="L48" s="168"/>
    </row>
    <row r="49" spans="1:13" x14ac:dyDescent="0.4">
      <c r="A49" s="297"/>
      <c r="B49" s="95">
        <f t="shared" si="4"/>
        <v>15</v>
      </c>
      <c r="C49" s="205">
        <v>20884</v>
      </c>
      <c r="D49" t="str">
        <f>VLOOKUP(C49,'Project Status'!C:H,6,FALSE)</f>
        <v>LAW SCHOOL</v>
      </c>
      <c r="E49" s="3" t="str">
        <f>VLOOKUP(C49,'Project Status'!C:I,7,FALSE)</f>
        <v>Law School - Exterior Window Painting</v>
      </c>
      <c r="F49" s="3" t="str">
        <f>VLOOKUP(C49,'Project Status'!C:K,9,FALSE)</f>
        <v>Financial Closeout</v>
      </c>
      <c r="G49" s="3" t="str">
        <f>VLOOKUP(C49,'Project Status'!C:L,10,FALSE)</f>
        <v>Ben Bedock</v>
      </c>
      <c r="H49" s="298"/>
      <c r="I49" s="204">
        <f>VLOOKUP(C49,'Project Status'!C:T,18,FALSE)</f>
        <v>675650</v>
      </c>
      <c r="J49" s="184"/>
      <c r="K49" s="154">
        <f t="shared" si="3"/>
        <v>675650</v>
      </c>
      <c r="L49" s="168"/>
    </row>
    <row r="50" spans="1:13" x14ac:dyDescent="0.4">
      <c r="A50" s="297"/>
      <c r="B50" s="95">
        <f t="shared" si="4"/>
        <v>16</v>
      </c>
      <c r="C50">
        <v>20885</v>
      </c>
      <c r="D50" t="str">
        <f>VLOOKUP(C50,'Project Status'!C:H,6,FALSE)</f>
        <v>BIOMOLECULAR NMR</v>
      </c>
      <c r="E50" s="3" t="str">
        <f>VLOOKUP(C50,'Project Status'!C:I,7,FALSE)</f>
        <v>NMR - Replace Air Compressors</v>
      </c>
      <c r="F50" s="3" t="str">
        <f>VLOOKUP(C50,'Project Status'!C:K,9,FALSE)</f>
        <v>Construction Closeout</v>
      </c>
      <c r="G50" s="3" t="str">
        <f>VLOOKUP(C50,'Project Status'!C:L,10,FALSE)</f>
        <v>Sean Rewers</v>
      </c>
      <c r="H50" s="298"/>
      <c r="I50" s="204">
        <f>VLOOKUP(C50,'Project Status'!C:T,18,FALSE)</f>
        <v>113053.4</v>
      </c>
      <c r="J50" s="184"/>
      <c r="K50" s="154">
        <f t="shared" si="3"/>
        <v>113053.4</v>
      </c>
      <c r="L50" s="168"/>
    </row>
    <row r="51" spans="1:13" x14ac:dyDescent="0.4">
      <c r="A51" s="297"/>
      <c r="B51" s="95">
        <f t="shared" si="4"/>
        <v>17</v>
      </c>
      <c r="C51">
        <v>20911</v>
      </c>
      <c r="D51" t="str">
        <f>VLOOKUP(C51,'Project Status'!C:H,6,FALSE)</f>
        <v>BUTTRICK HALL</v>
      </c>
      <c r="E51" s="3" t="str">
        <f>VLOOKUP(C51,'Project Status'!C:I,7,FALSE)</f>
        <v>Buttrick Hall - Elevator Upgrades</v>
      </c>
      <c r="F51" s="3" t="str">
        <f>VLOOKUP(C51,'Project Status'!C:K,9,FALSE)</f>
        <v>Finalized</v>
      </c>
      <c r="G51" s="3" t="str">
        <f>VLOOKUP(C51,'Project Status'!C:L,10,FALSE)</f>
        <v>Ben Bedock</v>
      </c>
      <c r="H51" s="298"/>
      <c r="I51" s="204">
        <f>VLOOKUP(C51,'Project Status'!C:T,18,FALSE)</f>
        <v>61045</v>
      </c>
      <c r="J51" s="184"/>
      <c r="K51" s="154">
        <f t="shared" si="3"/>
        <v>61045</v>
      </c>
      <c r="L51" s="168"/>
    </row>
    <row r="52" spans="1:13" ht="15" customHeight="1" x14ac:dyDescent="0.4">
      <c r="A52" s="297"/>
      <c r="B52" s="95">
        <f t="shared" si="4"/>
        <v>18</v>
      </c>
      <c r="C52">
        <v>20912</v>
      </c>
      <c r="D52" t="str">
        <f>VLOOKUP(C52,'Project Status'!C:H,6,FALSE)</f>
        <v>BENSON OLD CENTRAL</v>
      </c>
      <c r="E52" s="3" t="str">
        <f>VLOOKUP(C52,'Project Status'!C:I,7,FALSE)</f>
        <v>Benson Hall - Elevator Upgrades</v>
      </c>
      <c r="F52" s="3" t="str">
        <f>VLOOKUP(C52,'Project Status'!C:K,9,FALSE)</f>
        <v>Warranty or Construction Closeout</v>
      </c>
      <c r="G52" s="3" t="str">
        <f>VLOOKUP(C52,'Project Status'!C:L,10,FALSE)</f>
        <v>Ben Bedock</v>
      </c>
      <c r="H52" s="298"/>
      <c r="I52" s="204">
        <f>VLOOKUP(C52,'Project Status'!C:T,18,FALSE)</f>
        <v>59798</v>
      </c>
      <c r="J52" s="184"/>
      <c r="K52" s="154">
        <f t="shared" si="3"/>
        <v>59798</v>
      </c>
      <c r="L52" s="168"/>
    </row>
    <row r="53" spans="1:13" x14ac:dyDescent="0.4">
      <c r="A53" s="297"/>
      <c r="B53" s="95">
        <f t="shared" si="4"/>
        <v>19</v>
      </c>
      <c r="C53">
        <v>20913</v>
      </c>
      <c r="D53" t="str">
        <f>VLOOKUP(C53,'Project Status'!C:H,6,FALSE)</f>
        <v>WILSON HALL</v>
      </c>
      <c r="E53" s="3" t="str">
        <f>VLOOKUP(C53,'Project Status'!C:I,7,FALSE)</f>
        <v>Wilson Hall - Elevator Upgrades</v>
      </c>
      <c r="F53" s="3" t="str">
        <f>VLOOKUP(C53,'Project Status'!C:K,9,FALSE)</f>
        <v>Financial Closeout</v>
      </c>
      <c r="G53" s="3" t="str">
        <f>VLOOKUP(C53,'Project Status'!C:L,10,FALSE)</f>
        <v>Ben Bedock</v>
      </c>
      <c r="H53" s="298"/>
      <c r="I53" s="204">
        <f>VLOOKUP(C53,'Project Status'!C:T,18,FALSE)</f>
        <v>96612</v>
      </c>
      <c r="J53" s="184"/>
      <c r="K53" s="154">
        <f t="shared" si="3"/>
        <v>96612</v>
      </c>
      <c r="L53" s="168"/>
    </row>
    <row r="54" spans="1:13" x14ac:dyDescent="0.4">
      <c r="A54" s="297"/>
      <c r="B54" s="95">
        <f t="shared" si="4"/>
        <v>20</v>
      </c>
      <c r="C54">
        <v>20922</v>
      </c>
      <c r="D54" t="str">
        <f>VLOOKUP(C54,'Project Status'!C:H,6,FALSE)</f>
        <v>VAUGHN HOME</v>
      </c>
      <c r="E54" s="3" t="str">
        <f>VLOOKUP(C54,'Project Status'!C:I,7,FALSE)</f>
        <v>Vaughn Home - Exterior Improvements</v>
      </c>
      <c r="F54" s="3" t="str">
        <f>VLOOKUP(C54,'Project Status'!C:K,9,FALSE)</f>
        <v>Warranty or Construction Closeout</v>
      </c>
      <c r="G54" s="3" t="str">
        <f>VLOOKUP(C54,'Project Status'!C:L,10,FALSE)</f>
        <v>Jay Surprenant</v>
      </c>
      <c r="H54" s="298"/>
      <c r="I54" s="204">
        <f>VLOOKUP(C54,'Project Status'!C:T,18,FALSE)</f>
        <v>197150</v>
      </c>
      <c r="J54" s="184"/>
      <c r="K54" s="154">
        <f t="shared" ref="K54" si="7">IF(J54="TBD",J54,SUM(I54:J54))</f>
        <v>197150</v>
      </c>
      <c r="L54" s="168"/>
    </row>
    <row r="55" spans="1:13" x14ac:dyDescent="0.4">
      <c r="A55" s="297"/>
      <c r="B55" s="95">
        <f t="shared" si="4"/>
        <v>21</v>
      </c>
      <c r="C55">
        <v>20924</v>
      </c>
      <c r="D55" t="str">
        <f>VLOOKUP(C55,'Project Status'!C:H,6,FALSE)</f>
        <v>FRIST HALL</v>
      </c>
      <c r="E55" s="3" t="str">
        <f>VLOOKUP(C55,'Project Status'!C:I,7,FALSE)</f>
        <v>Frist Hall - Stairwell Roof Replacement</v>
      </c>
      <c r="F55" s="3" t="str">
        <f>VLOOKUP(C55,'Project Status'!C:K,9,FALSE)</f>
        <v>Finalized</v>
      </c>
      <c r="G55" s="3" t="str">
        <f>VLOOKUP(C55,'Project Status'!C:L,10,FALSE)</f>
        <v>Ben Bedock</v>
      </c>
      <c r="H55" s="298"/>
      <c r="I55" s="204">
        <f>VLOOKUP(C55,'Project Status'!C:T,18,FALSE)</f>
        <v>30570</v>
      </c>
      <c r="J55" s="184"/>
      <c r="K55" s="154">
        <f t="shared" ref="K55" si="8">IF(J55="TBD",J55,SUM(I55:J55))</f>
        <v>30570</v>
      </c>
      <c r="L55" s="168"/>
    </row>
    <row r="56" spans="1:13" x14ac:dyDescent="0.4">
      <c r="A56" s="297"/>
      <c r="B56" s="95">
        <f t="shared" si="4"/>
        <v>22</v>
      </c>
      <c r="C56">
        <v>20936</v>
      </c>
      <c r="D56" t="str">
        <f>VLOOKUP(C56,'Project Status'!C:H,6,FALSE)</f>
        <v>WILSON HALL</v>
      </c>
      <c r="E56" s="3" t="str">
        <f>VLOOKUP(C56,'Project Status'!C:I,7,FALSE)</f>
        <v>Wilson Hall - Lighting Retrofit for 103 and 126</v>
      </c>
      <c r="F56" s="3" t="str">
        <f>VLOOKUP(C56,'Project Status'!C:K,9,FALSE)</f>
        <v>Warranty or Construction Closeout</v>
      </c>
      <c r="G56" s="3" t="str">
        <f>VLOOKUP(C56,'Project Status'!C:L,10,FALSE)</f>
        <v>Jay Surprenant</v>
      </c>
      <c r="H56" s="298"/>
      <c r="I56" s="204">
        <f>VLOOKUP(C56,'Project Status'!C:T,18,FALSE)</f>
        <v>404655.91</v>
      </c>
      <c r="J56" s="184"/>
      <c r="K56" s="154">
        <f t="shared" si="3"/>
        <v>404655.91</v>
      </c>
      <c r="L56" s="168"/>
    </row>
    <row r="57" spans="1:13" x14ac:dyDescent="0.4">
      <c r="A57" s="297"/>
      <c r="B57" s="95">
        <f t="shared" si="4"/>
        <v>23</v>
      </c>
      <c r="C57">
        <v>20945</v>
      </c>
      <c r="D57" t="str">
        <f>VLOOKUP(C57,'Project Status'!C:H,6,FALSE)</f>
        <v>SEIGENTHALER CENTER</v>
      </c>
      <c r="E57" s="3" t="str">
        <f>VLOOKUP(C57,'Project Status'!C:I,7,FALSE)</f>
        <v>Seigenthaler Building - HVAC Improvements</v>
      </c>
      <c r="F57" s="3" t="str">
        <f>VLOOKUP(C57,'Project Status'!C:K,9,FALSE)</f>
        <v>Financial Closeout</v>
      </c>
      <c r="G57" s="3" t="str">
        <f>VLOOKUP(C57,'Project Status'!C:L,10,FALSE)</f>
        <v>Sean Rewers</v>
      </c>
      <c r="H57" s="298"/>
      <c r="I57" s="204">
        <f>VLOOKUP(C57,'Project Status'!C:T,18,FALSE)</f>
        <v>99000</v>
      </c>
      <c r="J57" s="184"/>
      <c r="K57" s="154">
        <f t="shared" ref="K57" si="9">IF(J57="TBD",J57,SUM(I57:J57))</f>
        <v>99000</v>
      </c>
      <c r="L57" s="168"/>
    </row>
    <row r="58" spans="1:13" x14ac:dyDescent="0.4">
      <c r="A58" s="297"/>
      <c r="B58" s="95">
        <f t="shared" si="4"/>
        <v>24</v>
      </c>
      <c r="C58">
        <v>20958</v>
      </c>
      <c r="D58" t="str">
        <f>VLOOKUP(C58,'Project Status'!C:H,6,FALSE)</f>
        <v>FURMAN HALL</v>
      </c>
      <c r="E58" s="3" t="str">
        <f>VLOOKUP(C58,'Project Status'!C:I,7,FALSE)</f>
        <v>Furman Hall - Elevator Modernization</v>
      </c>
      <c r="F58" s="3" t="str">
        <f>VLOOKUP(C58,'Project Status'!C:K,9,FALSE)</f>
        <v>Construction</v>
      </c>
      <c r="G58" s="3" t="str">
        <f>VLOOKUP(C58,'Project Status'!C:L,10,FALSE)</f>
        <v>Ben Bedock</v>
      </c>
      <c r="H58" s="298"/>
      <c r="I58" s="204">
        <f>VLOOKUP(C58,'Project Status'!C:T,18,FALSE)</f>
        <v>18175</v>
      </c>
      <c r="J58" s="184"/>
      <c r="K58" s="154">
        <f t="shared" ref="K58" si="10">IF(J58="TBD",J58,SUM(I58:J58))</f>
        <v>18175</v>
      </c>
      <c r="L58" s="168"/>
    </row>
    <row r="59" spans="1:13" x14ac:dyDescent="0.4">
      <c r="A59" s="297"/>
      <c r="B59" s="95">
        <f t="shared" si="4"/>
        <v>25</v>
      </c>
      <c r="C59">
        <v>20982</v>
      </c>
      <c r="D59" t="str">
        <f>VLOOKUP(C59,'Project Status'!C:H,6,FALSE)</f>
        <v>LAW SCHOOL</v>
      </c>
      <c r="E59" s="3" t="str">
        <f>VLOOKUP(C59,'Project Status'!C:I,7,FALSE)</f>
        <v>Law School - Elevator 1 Modernization</v>
      </c>
      <c r="F59" s="3" t="str">
        <f>VLOOKUP(C59,'Project Status'!C:K,9,FALSE)</f>
        <v>Construction Closeout</v>
      </c>
      <c r="G59" s="3" t="str">
        <f>VLOOKUP(C59,'Project Status'!C:L,10,FALSE)</f>
        <v>Ben Bedock</v>
      </c>
      <c r="H59" s="298"/>
      <c r="I59" s="204">
        <f>VLOOKUP(C59,'Project Status'!C:T,18,FALSE)</f>
        <v>18175</v>
      </c>
      <c r="J59" s="184"/>
      <c r="K59" s="154">
        <f t="shared" ref="K59" si="11">IF(J59="TBD",J59,SUM(I59:J59))</f>
        <v>18175</v>
      </c>
      <c r="L59" s="168"/>
      <c r="M59" s="146"/>
    </row>
    <row r="60" spans="1:13" x14ac:dyDescent="0.4">
      <c r="A60" s="297"/>
      <c r="H60" s="298"/>
      <c r="I60" s="204"/>
      <c r="K60" s="146"/>
      <c r="L60" s="168"/>
      <c r="M60" s="146"/>
    </row>
    <row r="61" spans="1:13" s="19" customFormat="1" x14ac:dyDescent="0.4">
      <c r="A61" s="297"/>
      <c r="C61" s="19">
        <v>10098</v>
      </c>
      <c r="D61" s="19" t="str">
        <f>VLOOKUP(C61,'Project Status'!C:H,6,FALSE)</f>
        <v>MRB III BIO/SCI</v>
      </c>
      <c r="E61" s="214" t="str">
        <f>VLOOKUP(C61,'Project Status'!C:I,7,FALSE)</f>
        <v>MRB III - 4th Floor - Replace Controls (Phase 2)</v>
      </c>
      <c r="F61" s="214" t="str">
        <f>VLOOKUP(C61,'Project Status'!C:K,9,FALSE)</f>
        <v>Finalized</v>
      </c>
      <c r="G61" s="214" t="str">
        <f>VLOOKUP(C61,'Project Status'!C:L,10,FALSE)</f>
        <v>Hans Mooy</v>
      </c>
      <c r="H61" s="298"/>
      <c r="I61" s="204">
        <f>VLOOKUP(C61,'Project Status'!C:T,18,FALSE)</f>
        <v>-4400.96</v>
      </c>
      <c r="J61" s="215"/>
      <c r="K61" s="216">
        <f t="shared" ref="K61:K73" si="12">IF(J61="TBD",J61,SUM(I61:J61))</f>
        <v>-4400.96</v>
      </c>
      <c r="L61" s="212"/>
      <c r="M61" s="223"/>
    </row>
    <row r="62" spans="1:13" s="19" customFormat="1" x14ac:dyDescent="0.4">
      <c r="A62" s="297"/>
      <c r="C62" s="19">
        <v>20336</v>
      </c>
      <c r="D62" s="19" t="str">
        <f>VLOOKUP(C62,'Project Status'!C:H,6,FALSE)</f>
        <v>BLAIR SCHOOL OF MUSIC</v>
      </c>
      <c r="E62" s="214" t="str">
        <f>VLOOKUP(C62,'Project Status'!C:I,7,FALSE)</f>
        <v>Blair School of Music - Elevator #3 Modernization</v>
      </c>
      <c r="F62" s="214" t="str">
        <f>VLOOKUP(C62,'Project Status'!C:K,9,FALSE)</f>
        <v>Finalized</v>
      </c>
      <c r="G62" s="214" t="str">
        <f>VLOOKUP(C62,'Project Status'!C:L,10,FALSE)</f>
        <v>Ben Bedock</v>
      </c>
      <c r="H62" s="298"/>
      <c r="I62" s="204">
        <f>VLOOKUP(C62,'Project Status'!C:T,18,FALSE)</f>
        <v>-47290</v>
      </c>
      <c r="J62" s="215"/>
      <c r="K62" s="216">
        <f t="shared" si="12"/>
        <v>-47290</v>
      </c>
      <c r="L62" s="212"/>
    </row>
    <row r="63" spans="1:13" s="19" customFormat="1" x14ac:dyDescent="0.4">
      <c r="A63" s="297"/>
      <c r="C63" s="19">
        <v>20497</v>
      </c>
      <c r="D63" s="19" t="str">
        <f>VLOOKUP(C63,'Project Status'!C:H,6,FALSE)</f>
        <v>JESUP PSYCHOLOGY</v>
      </c>
      <c r="E63" s="214" t="str">
        <f>VLOOKUP(C63,'Project Status'!C:I,7,FALSE)</f>
        <v>Jesup - Roof Replacement</v>
      </c>
      <c r="F63" s="214" t="str">
        <f>VLOOKUP(C63,'Project Status'!C:K,9,FALSE)</f>
        <v>Finalized</v>
      </c>
      <c r="G63" s="214" t="str">
        <f>VLOOKUP(C63,'Project Status'!C:L,10,FALSE)</f>
        <v>Ben Bedock</v>
      </c>
      <c r="H63" s="298"/>
      <c r="I63" s="204">
        <f>VLOOKUP(C63,'Project Status'!C:T,18,FALSE)</f>
        <v>-44850</v>
      </c>
      <c r="J63" s="215"/>
      <c r="K63" s="216">
        <f t="shared" si="12"/>
        <v>-44850</v>
      </c>
      <c r="L63" s="212"/>
    </row>
    <row r="64" spans="1:13" s="19" customFormat="1" x14ac:dyDescent="0.4">
      <c r="A64" s="297"/>
      <c r="C64" s="19">
        <v>20506</v>
      </c>
      <c r="D64" s="19" t="str">
        <f>VLOOKUP(C64,'Project Status'!C:H,6,FALSE)</f>
        <v>WYATT CENTER</v>
      </c>
      <c r="E64" s="214" t="str">
        <f>VLOOKUP(C64,'Project Status'!C:I,7,FALSE)</f>
        <v>Wyatt Center - Window Replacement</v>
      </c>
      <c r="F64" s="214" t="str">
        <f>VLOOKUP(C64,'Project Status'!C:K,9,FALSE)</f>
        <v>Finalized</v>
      </c>
      <c r="G64" s="214" t="str">
        <f>VLOOKUP(C64,'Project Status'!C:L,10,FALSE)</f>
        <v>Ben Bedock</v>
      </c>
      <c r="H64" s="298"/>
      <c r="I64" s="204">
        <f>VLOOKUP(C64,'Project Status'!C:T,18,FALSE)</f>
        <v>-36379</v>
      </c>
      <c r="J64" s="215"/>
      <c r="K64" s="216">
        <f t="shared" si="12"/>
        <v>-36379</v>
      </c>
      <c r="L64" s="212"/>
    </row>
    <row r="65" spans="1:14" s="19" customFormat="1" x14ac:dyDescent="0.4">
      <c r="A65" s="297"/>
      <c r="C65" s="19">
        <v>20562</v>
      </c>
      <c r="D65" s="19" t="str">
        <f>VLOOKUP(C65,'Project Status'!C:H,6,FALSE)</f>
        <v>WYATT CENTER</v>
      </c>
      <c r="E65" s="214" t="str">
        <f>VLOOKUP(C65,'Project Status'!C:I,7,FALSE)</f>
        <v>Wyatt Center - VAV Replacement</v>
      </c>
      <c r="F65" s="214" t="str">
        <f>VLOOKUP(C65,'Project Status'!C:K,9,FALSE)</f>
        <v>Finalized</v>
      </c>
      <c r="G65" s="214" t="str">
        <f>VLOOKUP(C65,'Project Status'!C:L,10,FALSE)</f>
        <v>Sean Rewers</v>
      </c>
      <c r="H65" s="298"/>
      <c r="I65" s="204">
        <f>VLOOKUP(C65,'Project Status'!C:T,18,FALSE)</f>
        <v>-43231.360000000001</v>
      </c>
      <c r="J65" s="215"/>
      <c r="K65" s="216">
        <f t="shared" si="12"/>
        <v>-43231.360000000001</v>
      </c>
      <c r="L65" s="212"/>
    </row>
    <row r="66" spans="1:14" s="19" customFormat="1" x14ac:dyDescent="0.4">
      <c r="A66" s="297"/>
      <c r="C66" s="19">
        <v>20566</v>
      </c>
      <c r="D66" s="19" t="str">
        <f>VLOOKUP(C66,'Project Status'!C:H,6,FALSE)</f>
        <v>SC CHEMISTRY</v>
      </c>
      <c r="E66" s="214" t="str">
        <f>VLOOKUP(C66,'Project Status'!C:I,7,FALSE)</f>
        <v>SC Chemistry (SC7) - Elevator 1 &amp; 2 Modernization</v>
      </c>
      <c r="F66" s="214" t="str">
        <f>VLOOKUP(C66,'Project Status'!C:K,9,FALSE)</f>
        <v>Finalized</v>
      </c>
      <c r="G66" s="214" t="str">
        <f>VLOOKUP(C66,'Project Status'!C:L,10,FALSE)</f>
        <v>Ben Bedock</v>
      </c>
      <c r="H66" s="298"/>
      <c r="I66" s="204">
        <f>VLOOKUP(C66,'Project Status'!C:T,18,FALSE)</f>
        <v>-59283.32</v>
      </c>
      <c r="J66" s="215"/>
      <c r="K66" s="216">
        <f t="shared" si="12"/>
        <v>-59283.32</v>
      </c>
      <c r="L66" s="212"/>
    </row>
    <row r="67" spans="1:14" s="19" customFormat="1" x14ac:dyDescent="0.4">
      <c r="A67" s="297"/>
      <c r="C67" s="19">
        <v>20573</v>
      </c>
      <c r="D67" s="19" t="str">
        <f>VLOOKUP(C67,'Project Status'!C:H,6,FALSE)</f>
        <v>WYATT CENTER</v>
      </c>
      <c r="E67" s="214" t="str">
        <f>VLOOKUP(C67,'Project Status'!C:I,7,FALSE)</f>
        <v>Wyatt Center - Roof Replacement</v>
      </c>
      <c r="F67" s="214" t="str">
        <f>VLOOKUP(C67,'Project Status'!C:K,9,FALSE)</f>
        <v>Finalized</v>
      </c>
      <c r="G67" s="214" t="str">
        <f>VLOOKUP(C67,'Project Status'!C:L,10,FALSE)</f>
        <v>Ben Bedock</v>
      </c>
      <c r="H67" s="298"/>
      <c r="I67" s="204">
        <f>VLOOKUP(C67,'Project Status'!C:T,18,FALSE)</f>
        <v>-119221</v>
      </c>
      <c r="J67" s="215"/>
      <c r="K67" s="216">
        <f t="shared" si="12"/>
        <v>-119221</v>
      </c>
      <c r="L67" s="212"/>
    </row>
    <row r="68" spans="1:14" s="19" customFormat="1" x14ac:dyDescent="0.4">
      <c r="A68" s="297"/>
      <c r="C68" s="19">
        <v>20574</v>
      </c>
      <c r="D68" s="19" t="str">
        <f>VLOOKUP(C68,'Project Status'!C:H,6,FALSE)</f>
        <v>MRB III BIO/SCI</v>
      </c>
      <c r="E68" s="214" t="str">
        <f>VLOOKUP(C68,'Project Status'!C:I,7,FALSE)</f>
        <v>MRB III - Steam Coil Replacement</v>
      </c>
      <c r="F68" s="214" t="str">
        <f>VLOOKUP(C68,'Project Status'!C:K,9,FALSE)</f>
        <v>Finalized</v>
      </c>
      <c r="G68" s="214" t="str">
        <f>VLOOKUP(C68,'Project Status'!C:L,10,FALSE)</f>
        <v>Sean Rewers</v>
      </c>
      <c r="H68" s="298"/>
      <c r="I68" s="204">
        <f>VLOOKUP(C68,'Project Status'!C:T,18,FALSE)</f>
        <v>-22537</v>
      </c>
      <c r="J68" s="215"/>
      <c r="K68" s="216">
        <f t="shared" si="12"/>
        <v>-22537</v>
      </c>
      <c r="L68" s="217"/>
    </row>
    <row r="69" spans="1:14" s="19" customFormat="1" x14ac:dyDescent="0.4">
      <c r="A69" s="297"/>
      <c r="C69" s="19">
        <v>20644</v>
      </c>
      <c r="D69" s="19" t="str">
        <f>VLOOKUP(C69,'Project Status'!C:H,6,FALSE)</f>
        <v>PEABODY ADMINISTRATION</v>
      </c>
      <c r="E69" s="214" t="str">
        <f>VLOOKUP(C69,'Project Status'!C:I,7,FALSE)</f>
        <v>Peabody Administration - Envelope Repairs</v>
      </c>
      <c r="F69" s="214" t="str">
        <f>VLOOKUP(C69,'Project Status'!C:K,9,FALSE)</f>
        <v>Finalized</v>
      </c>
      <c r="G69" s="214" t="str">
        <f>VLOOKUP(C69,'Project Status'!C:L,10,FALSE)</f>
        <v>Ben Bedock</v>
      </c>
      <c r="H69" s="298"/>
      <c r="I69" s="204">
        <f>VLOOKUP(C69,'Project Status'!C:T,18,FALSE)</f>
        <v>-58765</v>
      </c>
      <c r="J69" s="215"/>
      <c r="K69" s="216">
        <f t="shared" si="12"/>
        <v>-58765</v>
      </c>
      <c r="L69" s="217"/>
    </row>
    <row r="70" spans="1:14" s="19" customFormat="1" x14ac:dyDescent="0.4">
      <c r="A70" s="297"/>
      <c r="C70" s="19">
        <v>20645</v>
      </c>
      <c r="D70" s="19" t="str">
        <f>VLOOKUP(C70,'Project Status'!C:H,6,FALSE)</f>
        <v>BENSON OLD CENTRAL</v>
      </c>
      <c r="E70" s="214" t="str">
        <f>VLOOKUP(C70,'Project Status'!C:I,7,FALSE)</f>
        <v>Benson Old Central - Replace Soffit and Doors</v>
      </c>
      <c r="F70" s="214" t="str">
        <f>VLOOKUP(C70,'Project Status'!C:K,9,FALSE)</f>
        <v>Finalized</v>
      </c>
      <c r="G70" s="214" t="str">
        <f>VLOOKUP(C70,'Project Status'!C:L,10,FALSE)</f>
        <v>Ben Bedock</v>
      </c>
      <c r="H70" s="298"/>
      <c r="I70" s="204">
        <f>VLOOKUP(C70,'Project Status'!C:T,18,FALSE)</f>
        <v>-11525</v>
      </c>
      <c r="J70" s="215"/>
      <c r="K70" s="216">
        <f t="shared" si="12"/>
        <v>-11525</v>
      </c>
      <c r="L70" s="213" t="s">
        <v>371</v>
      </c>
    </row>
    <row r="71" spans="1:14" s="19" customFormat="1" x14ac:dyDescent="0.4">
      <c r="A71" s="297"/>
      <c r="C71" s="19">
        <v>20702</v>
      </c>
      <c r="D71" s="19" t="str">
        <f>VLOOKUP(C71,'Project Status'!C:H,6,FALSE)</f>
        <v>WYATT CENTER</v>
      </c>
      <c r="E71" s="214" t="str">
        <f>VLOOKUP(C71,'Project Status'!C:I,7,FALSE)</f>
        <v>Wyatt Center - Elevator #2 Modernization</v>
      </c>
      <c r="F71" s="214" t="str">
        <f>VLOOKUP(C71,'Project Status'!C:K,9,FALSE)</f>
        <v>Finalized</v>
      </c>
      <c r="G71" s="214" t="str">
        <f>VLOOKUP(C71,'Project Status'!C:L,10,FALSE)</f>
        <v>Ben Bedock</v>
      </c>
      <c r="H71" s="298"/>
      <c r="I71" s="204">
        <f>VLOOKUP(C71,'Project Status'!C:T,18,FALSE)</f>
        <v>-29922</v>
      </c>
      <c r="J71" s="215"/>
      <c r="K71" s="216">
        <f t="shared" si="12"/>
        <v>-29922</v>
      </c>
      <c r="L71" s="213" t="s">
        <v>372</v>
      </c>
    </row>
    <row r="72" spans="1:14" s="19" customFormat="1" x14ac:dyDescent="0.4">
      <c r="A72" s="297"/>
      <c r="C72" s="19">
        <v>20771</v>
      </c>
      <c r="D72" s="19" t="str">
        <f>VLOOKUP(C72,'Project Status'!C:H,6,FALSE)</f>
        <v>SC CHEMISTRY</v>
      </c>
      <c r="E72" s="214" t="str">
        <f>VLOOKUP(C72,'Project Status'!C:I,7,FALSE)</f>
        <v>SC4 - Interstitial Space HVAC Modifications</v>
      </c>
      <c r="F72" s="214" t="str">
        <f>VLOOKUP(C72,'Project Status'!C:K,9,FALSE)</f>
        <v>Finalized</v>
      </c>
      <c r="G72" s="214" t="str">
        <f>VLOOKUP(C72,'Project Status'!C:L,10,FALSE)</f>
        <v>Sean Rewers</v>
      </c>
      <c r="H72" s="298"/>
      <c r="I72" s="204">
        <f>VLOOKUP(C72,'Project Status'!C:T,18,FALSE)</f>
        <v>-7025</v>
      </c>
      <c r="J72" s="215"/>
      <c r="K72" s="216">
        <f t="shared" ref="K72" si="13">IF(J72="TBD",J72,SUM(I72:J72))</f>
        <v>-7025</v>
      </c>
      <c r="L72" s="213"/>
    </row>
    <row r="73" spans="1:14" s="19" customFormat="1" x14ac:dyDescent="0.4">
      <c r="A73" s="297"/>
      <c r="C73" s="19">
        <v>20792</v>
      </c>
      <c r="D73" s="19" t="str">
        <f>VLOOKUP(C73,'Project Status'!C:H,6,FALSE)</f>
        <v>LAW SCHOOL</v>
      </c>
      <c r="E73" s="214" t="str">
        <f>VLOOKUP(C73,'Project Status'!C:I,7,FALSE)</f>
        <v>Law School - Sections 1, 2, &amp; 3  Roof Replacement</v>
      </c>
      <c r="F73" s="214" t="str">
        <f>VLOOKUP(C73,'Project Status'!C:K,9,FALSE)</f>
        <v>Finalized</v>
      </c>
      <c r="G73" s="214" t="str">
        <f>VLOOKUP(C73,'Project Status'!C:L,10,FALSE)</f>
        <v>Ben Bedock</v>
      </c>
      <c r="H73" s="298"/>
      <c r="I73" s="204">
        <f>VLOOKUP(C73,'Project Status'!C:T,18,FALSE)</f>
        <v>-32665</v>
      </c>
      <c r="J73" s="215"/>
      <c r="K73" s="216">
        <f t="shared" si="12"/>
        <v>-32665</v>
      </c>
      <c r="L73" s="217">
        <f>L32</f>
        <v>567212.74000000022</v>
      </c>
    </row>
    <row r="74" spans="1:14" x14ac:dyDescent="0.4">
      <c r="A74" s="297"/>
      <c r="C74" s="19">
        <v>20735</v>
      </c>
      <c r="D74" s="19" t="str">
        <f>VLOOKUP(C74,'Project Status'!C:H,6,FALSE)</f>
        <v>OWEN GRAD MGMT</v>
      </c>
      <c r="E74" s="214" t="str">
        <f>VLOOKUP(C74,'Project Status'!C:I,7,FALSE)</f>
        <v>Owen - Roof Replacement (Third Level)</v>
      </c>
      <c r="F74" s="214" t="str">
        <f>VLOOKUP(C74,'Project Status'!C:K,9,FALSE)</f>
        <v>Finalized</v>
      </c>
      <c r="G74" s="214" t="str">
        <f>VLOOKUP(C74,'Project Status'!C:L,10,FALSE)</f>
        <v>Ben Bedock</v>
      </c>
      <c r="H74" s="298"/>
      <c r="I74" s="204">
        <f>VLOOKUP(C74,'Project Status'!C:T,18,FALSE)</f>
        <v>-23500</v>
      </c>
      <c r="J74" s="215"/>
      <c r="K74" s="216">
        <f t="shared" ref="K74" si="14">IF(J74="TBD",J74,SUM(I74:J74))</f>
        <v>-23500</v>
      </c>
      <c r="L74" s="168"/>
    </row>
    <row r="75" spans="1:14" x14ac:dyDescent="0.4">
      <c r="H75" s="298"/>
      <c r="I75" s="152">
        <f>SUM(I35:I74)</f>
        <v>11427472.939999999</v>
      </c>
      <c r="J75" s="152">
        <f>SUM(J35:J74)</f>
        <v>0</v>
      </c>
      <c r="K75" s="152">
        <f>SUM(K35:K74)</f>
        <v>11427472.939999999</v>
      </c>
      <c r="L75" s="152">
        <f>H35-K75+L73</f>
        <v>169023.08999999985</v>
      </c>
      <c r="M75" s="146"/>
      <c r="N75" s="146"/>
    </row>
    <row r="76" spans="1:14" x14ac:dyDescent="0.4">
      <c r="I76" s="222" t="b">
        <f>I75='JE LOG_FY24'!C21</f>
        <v>1</v>
      </c>
      <c r="J76" s="222"/>
      <c r="L76" s="146"/>
      <c r="M76" s="146"/>
      <c r="N76" s="146"/>
    </row>
    <row r="77" spans="1:14" x14ac:dyDescent="0.4">
      <c r="A77" s="299" t="s">
        <v>281</v>
      </c>
      <c r="B77" s="156"/>
      <c r="C77" s="156" t="s">
        <v>443</v>
      </c>
      <c r="D77" s="156" t="s">
        <v>113</v>
      </c>
      <c r="E77" s="156" t="s">
        <v>87</v>
      </c>
      <c r="F77" s="220" t="s">
        <v>127</v>
      </c>
      <c r="G77" s="220" t="s">
        <v>128</v>
      </c>
      <c r="H77" s="160" t="s">
        <v>280</v>
      </c>
      <c r="I77" s="157" t="s">
        <v>246</v>
      </c>
      <c r="J77" s="157"/>
      <c r="K77" s="166" t="s">
        <v>277</v>
      </c>
      <c r="L77" s="167" t="s">
        <v>247</v>
      </c>
    </row>
    <row r="78" spans="1:14" s="3" customFormat="1" ht="14.7" customHeight="1" x14ac:dyDescent="0.4">
      <c r="A78" s="299"/>
      <c r="B78" s="226">
        <v>1</v>
      </c>
      <c r="C78" s="3">
        <v>20489</v>
      </c>
      <c r="D78" s="3" t="str">
        <f>VLOOKUP(C78,'Project Status'!C:H,6,FALSE)</f>
        <v>DIVINITY</v>
      </c>
      <c r="E78" s="3" t="str">
        <f>VLOOKUP(C78,'Project Status'!C:I,7,FALSE)</f>
        <v>Divinity Air Handling Unit Replacement,(1/3) - Phase 2 with Benton - FY26</v>
      </c>
      <c r="F78" s="3" t="str">
        <f>VLOOKUP(C78,'Project Status'!C:K,9,FALSE)</f>
        <v>Construction</v>
      </c>
      <c r="G78" s="3" t="str">
        <f>VLOOKUP(C78,'Project Status'!C:L,10,FALSE)</f>
        <v>Jay Surprenant</v>
      </c>
      <c r="H78" s="300">
        <f>Contributions!K18</f>
        <v>12857284.462265246</v>
      </c>
      <c r="I78" s="204">
        <f>VLOOKUP(C78,'Project Status'!C:U,19,FALSE)</f>
        <v>304500</v>
      </c>
      <c r="J78" s="227"/>
      <c r="K78" s="154">
        <f>SUM(I78:J78)</f>
        <v>304500</v>
      </c>
      <c r="L78" s="228"/>
    </row>
    <row r="79" spans="1:14" s="3" customFormat="1" ht="14.7" customHeight="1" x14ac:dyDescent="0.4">
      <c r="A79" s="299"/>
      <c r="B79" s="226">
        <f>B78+1</f>
        <v>2</v>
      </c>
      <c r="C79" s="3">
        <v>20577</v>
      </c>
      <c r="D79" s="3" t="str">
        <f>VLOOKUP(C79,'Project Status'!C:H,6,FALSE)</f>
        <v>BLAIR SCHOOL OF MUSIC</v>
      </c>
      <c r="E79" s="3" t="str">
        <f>VLOOKUP(C79,'Project Status'!C:I,7,FALSE)</f>
        <v>Blair School of Music - AHU - 1 Replacement - Phase 1 - FY25</v>
      </c>
      <c r="F79" s="3" t="str">
        <f>VLOOKUP(C79,'Project Status'!C:K,9,FALSE)</f>
        <v>Construction</v>
      </c>
      <c r="G79" s="3" t="str">
        <f>VLOOKUP(C79,'Project Status'!C:L,10,FALSE)</f>
        <v>Jay Surprenant</v>
      </c>
      <c r="H79" s="300"/>
      <c r="I79" s="204">
        <f>VLOOKUP(C79,'Project Status'!C:U,19,FALSE)</f>
        <v>1077000</v>
      </c>
      <c r="J79" s="227"/>
      <c r="K79" s="154">
        <f>SUM(I79:J79)</f>
        <v>1077000</v>
      </c>
      <c r="L79" s="228"/>
    </row>
    <row r="80" spans="1:14" s="3" customFormat="1" ht="14.7" customHeight="1" x14ac:dyDescent="0.4">
      <c r="A80" s="299"/>
      <c r="B80" s="226">
        <f t="shared" ref="B80:B103" si="15">B79+1</f>
        <v>3</v>
      </c>
      <c r="C80" s="3">
        <v>20667</v>
      </c>
      <c r="D80" s="3" t="str">
        <f>VLOOKUP(C80,'Project Status'!C:H,6,FALSE)</f>
        <v>1025 16TH AVE S</v>
      </c>
      <c r="E80" s="3" t="str">
        <f>VLOOKUP(C80,'Project Status'!C:I,7,FALSE)</f>
        <v>1025 16th Avenue - Mechanical and Electrical Upgrades</v>
      </c>
      <c r="F80" s="3" t="str">
        <f>VLOOKUP(C80,'Project Status'!C:K,9,FALSE)</f>
        <v>Construction</v>
      </c>
      <c r="G80" s="3" t="str">
        <f>VLOOKUP(C80,'Project Status'!C:L,10,FALSE)</f>
        <v>Kylie Mignoli</v>
      </c>
      <c r="H80" s="300"/>
      <c r="I80" s="204">
        <f>VLOOKUP(C80,'Project Status'!C:U,19,FALSE)</f>
        <v>1398860</v>
      </c>
      <c r="J80" s="227"/>
      <c r="K80" s="154">
        <f t="shared" ref="K80:K92" si="16">SUM(I80:J80)</f>
        <v>1398860</v>
      </c>
      <c r="L80" s="228"/>
    </row>
    <row r="81" spans="1:12" s="3" customFormat="1" x14ac:dyDescent="0.4">
      <c r="A81" s="299"/>
      <c r="B81" s="226">
        <f t="shared" si="15"/>
        <v>4</v>
      </c>
      <c r="C81" s="3">
        <v>20723</v>
      </c>
      <c r="D81" s="3" t="str">
        <f>VLOOKUP(C81,'Project Status'!C:H,6,FALSE)</f>
        <v>MRB III BIO/SCI</v>
      </c>
      <c r="E81" s="3" t="str">
        <f>VLOOKUP(C81,'Project Status'!C:I,7,FALSE)</f>
        <v>MRB III - 9th Floor (with 4 ,5 &amp; 8) - Replace Controls (Phase 3)</v>
      </c>
      <c r="F81" s="3" t="str">
        <f>VLOOKUP(C81,'Project Status'!C:K,9,FALSE)</f>
        <v>Construction</v>
      </c>
      <c r="G81" s="3" t="str">
        <f>VLOOKUP(C81,'Project Status'!C:L,10,FALSE)</f>
        <v>Jay Surprenant</v>
      </c>
      <c r="H81" s="300"/>
      <c r="I81" s="204">
        <f>VLOOKUP(C81,'Project Status'!C:U,19,FALSE)</f>
        <v>1539500</v>
      </c>
      <c r="J81" s="227"/>
      <c r="K81" s="154">
        <f t="shared" si="16"/>
        <v>1539500</v>
      </c>
      <c r="L81" s="228"/>
    </row>
    <row r="82" spans="1:12" s="3" customFormat="1" x14ac:dyDescent="0.4">
      <c r="A82" s="299"/>
      <c r="B82" s="226">
        <f t="shared" si="15"/>
        <v>5</v>
      </c>
      <c r="C82" s="3">
        <v>20772</v>
      </c>
      <c r="D82" s="3" t="str">
        <f>VLOOKUP(C82,'Project Status'!C:H,6,FALSE)</f>
        <v>OWEN GRAD MGMT</v>
      </c>
      <c r="E82" s="3" t="str">
        <f>VLOOKUP(C82,'Project Status'!C:I,7,FALSE)</f>
        <v>OGSM Old Mechanical- Slate Roof &amp; Window Replacement</v>
      </c>
      <c r="F82" s="3" t="str">
        <f>VLOOKUP(C82,'Project Status'!C:K,9,FALSE)</f>
        <v>Financial Closeout</v>
      </c>
      <c r="G82" s="3" t="str">
        <f>VLOOKUP(C82,'Project Status'!C:L,10,FALSE)</f>
        <v>Ben Bedock</v>
      </c>
      <c r="H82" s="300"/>
      <c r="I82" s="204">
        <f>VLOOKUP(C82,'Project Status'!C:U,19,FALSE)</f>
        <v>1600000</v>
      </c>
      <c r="J82" s="227"/>
      <c r="K82" s="154">
        <f t="shared" si="16"/>
        <v>1600000</v>
      </c>
      <c r="L82" s="228"/>
    </row>
    <row r="83" spans="1:12" s="3" customFormat="1" x14ac:dyDescent="0.4">
      <c r="A83" s="299"/>
      <c r="B83" s="226">
        <f t="shared" si="15"/>
        <v>6</v>
      </c>
      <c r="C83" s="3">
        <v>20812</v>
      </c>
      <c r="D83" s="3" t="str">
        <f>VLOOKUP(C83,'Project Status'!C:H,6,FALSE)</f>
        <v>1025 16TH AVE GARAGE</v>
      </c>
      <c r="E83" s="3" t="str">
        <f>VLOOKUP(C83,'Project Status'!C:I,7,FALSE)</f>
        <v>1025 16th Avenue - Patio Repairs</v>
      </c>
      <c r="F83" s="3" t="str">
        <f>VLOOKUP(C83,'Project Status'!C:K,9,FALSE)</f>
        <v>Construction</v>
      </c>
      <c r="G83" s="3" t="str">
        <f>VLOOKUP(C83,'Project Status'!C:L,10,FALSE)</f>
        <v>Sean Rewers</v>
      </c>
      <c r="H83" s="300"/>
      <c r="I83" s="204">
        <f>VLOOKUP(C83,'Project Status'!C:U,19,FALSE)</f>
        <v>486135</v>
      </c>
      <c r="J83" s="227"/>
      <c r="K83" s="154">
        <f t="shared" si="16"/>
        <v>486135</v>
      </c>
      <c r="L83" s="228"/>
    </row>
    <row r="84" spans="1:12" s="3" customFormat="1" x14ac:dyDescent="0.4">
      <c r="A84" s="299"/>
      <c r="B84" s="226">
        <f t="shared" si="15"/>
        <v>7</v>
      </c>
      <c r="C84" s="3">
        <v>20885</v>
      </c>
      <c r="D84" s="3" t="str">
        <f>VLOOKUP(C84,'Project Status'!C:H,6,FALSE)</f>
        <v>BIOMOLECULAR NMR</v>
      </c>
      <c r="E84" s="3" t="str">
        <f>VLOOKUP(C84,'Project Status'!C:I,7,FALSE)</f>
        <v>NMR - Replace Air Compressors</v>
      </c>
      <c r="F84" s="3" t="str">
        <f>VLOOKUP(C84,'Project Status'!C:K,9,FALSE)</f>
        <v>Construction Closeout</v>
      </c>
      <c r="G84" s="3" t="str">
        <f>VLOOKUP(C84,'Project Status'!C:L,10,FALSE)</f>
        <v>Sean Rewers</v>
      </c>
      <c r="H84" s="300"/>
      <c r="I84" s="204">
        <f>VLOOKUP(C84,'Project Status'!C:U,19,FALSE)</f>
        <v>30000</v>
      </c>
      <c r="J84" s="227"/>
      <c r="K84" s="154">
        <f t="shared" si="16"/>
        <v>30000</v>
      </c>
      <c r="L84" s="228"/>
    </row>
    <row r="85" spans="1:12" s="3" customFormat="1" x14ac:dyDescent="0.4">
      <c r="A85" s="299"/>
      <c r="B85" s="226">
        <f t="shared" si="15"/>
        <v>8</v>
      </c>
      <c r="C85" s="3">
        <v>20925</v>
      </c>
      <c r="D85" s="3" t="str">
        <f>VLOOKUP(C85,'Project Status'!C:H,6,FALSE)</f>
        <v>BLAIR SCHOOL OF MUSIC</v>
      </c>
      <c r="E85" s="3" t="str">
        <f>VLOOKUP(C85,'Project Status'!C:I,7,FALSE)</f>
        <v>Blair School of Music - AHU 2/3 Replacement  - Phase 2 - FY26</v>
      </c>
      <c r="F85" s="3" t="str">
        <f>VLOOKUP(C85,'Project Status'!C:K,9,FALSE)</f>
        <v>Construction</v>
      </c>
      <c r="G85" s="3" t="str">
        <f>VLOOKUP(C85,'Project Status'!C:L,10,FALSE)</f>
        <v>Jay Surprenant</v>
      </c>
      <c r="H85" s="300"/>
      <c r="I85" s="204">
        <f>VLOOKUP(C85,'Project Status'!C:U,19,FALSE)</f>
        <v>409000</v>
      </c>
      <c r="J85" s="227"/>
      <c r="K85" s="154">
        <f t="shared" ref="K85" si="17">SUM(I85:J85)</f>
        <v>409000</v>
      </c>
      <c r="L85" s="228"/>
    </row>
    <row r="86" spans="1:12" s="3" customFormat="1" x14ac:dyDescent="0.4">
      <c r="A86" s="299"/>
      <c r="B86" s="226">
        <f t="shared" si="15"/>
        <v>9</v>
      </c>
      <c r="C86" s="3">
        <v>20940</v>
      </c>
      <c r="D86" s="3" t="str">
        <f>VLOOKUP(C86,'Project Status'!C:H,6,FALSE)</f>
        <v>1025 16TH AVE S</v>
      </c>
      <c r="E86" s="3" t="str">
        <f>VLOOKUP(C86,'Project Status'!C:I,7,FALSE)</f>
        <v>1025 16th Avenue - Security System Replacement</v>
      </c>
      <c r="F86" s="3" t="str">
        <f>VLOOKUP(C86,'Project Status'!C:K,9,FALSE)</f>
        <v>Financial Closeout</v>
      </c>
      <c r="G86" s="3" t="str">
        <f>VLOOKUP(C86,'Project Status'!C:L,10,FALSE)</f>
        <v>Sean Rewers</v>
      </c>
      <c r="H86" s="300"/>
      <c r="I86" s="204">
        <f>VLOOKUP(C86,'Project Status'!C:U,19,FALSE)</f>
        <v>309548.64</v>
      </c>
      <c r="J86" s="227"/>
      <c r="K86" s="154">
        <f t="shared" si="16"/>
        <v>309548.64</v>
      </c>
      <c r="L86" s="228"/>
    </row>
    <row r="87" spans="1:12" x14ac:dyDescent="0.4">
      <c r="A87" s="299"/>
      <c r="B87" s="226">
        <f t="shared" si="15"/>
        <v>10</v>
      </c>
      <c r="C87">
        <v>20958</v>
      </c>
      <c r="D87" t="str">
        <f>VLOOKUP(C87,'Project Status'!C:H,6,FALSE)</f>
        <v>FURMAN HALL</v>
      </c>
      <c r="E87" t="str">
        <f>VLOOKUP(C87,'Project Status'!C:I,7,FALSE)</f>
        <v>Furman Hall - Elevator Modernization</v>
      </c>
      <c r="F87" s="3" t="str">
        <f>VLOOKUP(C87,'Project Status'!C:K,9,FALSE)</f>
        <v>Construction</v>
      </c>
      <c r="G87" s="3" t="str">
        <f>VLOOKUP(C87,'Project Status'!C:L,10,FALSE)</f>
        <v>Ben Bedock</v>
      </c>
      <c r="H87" s="300"/>
      <c r="I87" s="204">
        <f>VLOOKUP(C87,'Project Status'!C:U,19,FALSE)</f>
        <v>243454</v>
      </c>
      <c r="J87" s="227"/>
      <c r="K87" s="154">
        <f t="shared" si="16"/>
        <v>243454</v>
      </c>
      <c r="L87" s="228"/>
    </row>
    <row r="88" spans="1:12" s="3" customFormat="1" x14ac:dyDescent="0.4">
      <c r="A88" s="299"/>
      <c r="B88" s="226">
        <f t="shared" si="15"/>
        <v>11</v>
      </c>
      <c r="C88" s="3">
        <v>20962</v>
      </c>
      <c r="D88" s="3" t="str">
        <f>VLOOKUP(C88,'Project Status'!C:H,6,FALSE)</f>
        <v>VAUGHN HOME</v>
      </c>
      <c r="E88" s="3" t="str">
        <f>VLOOKUP(C88,'Project Status'!C:I,7,FALSE)</f>
        <v>Vaughn Home - Roof Replacement</v>
      </c>
      <c r="F88" s="3" t="str">
        <f>VLOOKUP(C88,'Project Status'!C:K,9,FALSE)</f>
        <v>Design</v>
      </c>
      <c r="G88" s="3" t="str">
        <f>VLOOKUP(C88,'Project Status'!C:L,10,FALSE)</f>
        <v>Ben Bedock</v>
      </c>
      <c r="H88" s="300"/>
      <c r="I88" s="204">
        <f>VLOOKUP(C88,'Project Status'!C:U,19,FALSE)</f>
        <v>1800</v>
      </c>
      <c r="J88" s="227"/>
      <c r="K88" s="154">
        <f t="shared" si="16"/>
        <v>1800</v>
      </c>
      <c r="L88" s="228"/>
    </row>
    <row r="89" spans="1:12" s="3" customFormat="1" x14ac:dyDescent="0.4">
      <c r="A89" s="299"/>
      <c r="B89" s="226">
        <f t="shared" si="15"/>
        <v>12</v>
      </c>
      <c r="C89" s="3">
        <v>20982</v>
      </c>
      <c r="D89" s="3" t="str">
        <f>VLOOKUP(C89,'Project Status'!C:H,6,FALSE)</f>
        <v>LAW SCHOOL</v>
      </c>
      <c r="E89" s="3" t="str">
        <f>VLOOKUP(C89,'Project Status'!C:I,7,FALSE)</f>
        <v>Law School - Elevator 1 Modernization</v>
      </c>
      <c r="F89" s="3" t="str">
        <f>VLOOKUP(C89,'Project Status'!C:K,9,FALSE)</f>
        <v>Construction Closeout</v>
      </c>
      <c r="G89" s="3" t="str">
        <f>VLOOKUP(C89,'Project Status'!C:L,10,FALSE)</f>
        <v>Ben Bedock</v>
      </c>
      <c r="H89" s="300"/>
      <c r="I89" s="204">
        <f>VLOOKUP(C89,'Project Status'!C:U,19,FALSE)</f>
        <v>253825</v>
      </c>
      <c r="J89" s="227"/>
      <c r="K89" s="154">
        <f t="shared" si="16"/>
        <v>253825</v>
      </c>
      <c r="L89" s="228"/>
    </row>
    <row r="90" spans="1:12" s="3" customFormat="1" ht="14.7" customHeight="1" x14ac:dyDescent="0.4">
      <c r="A90" s="299"/>
      <c r="B90" s="226">
        <f t="shared" si="15"/>
        <v>13</v>
      </c>
      <c r="C90" s="3">
        <v>20984</v>
      </c>
      <c r="D90" s="3" t="str">
        <f>VLOOKUP(C90,'Project Status'!C:H,6,FALSE)</f>
        <v>WILSON HALL</v>
      </c>
      <c r="E90" s="3" t="str">
        <f>VLOOKUP(C90,'Project Status'!C:I,7,FALSE)</f>
        <v>Wilson Hall - 1st Floor Urinal Replacement</v>
      </c>
      <c r="F90" s="3" t="str">
        <f>VLOOKUP(C90,'Project Status'!C:K,9,FALSE)</f>
        <v>Financial Closeout</v>
      </c>
      <c r="G90" s="3" t="str">
        <f>VLOOKUP(C90,'Project Status'!C:L,10,FALSE)</f>
        <v>Hans Mooy</v>
      </c>
      <c r="H90" s="300"/>
      <c r="I90" s="204">
        <f>VLOOKUP(C90,'Project Status'!C:U,19,FALSE)</f>
        <v>167000</v>
      </c>
      <c r="J90" s="227"/>
      <c r="K90" s="154">
        <f t="shared" si="16"/>
        <v>167000</v>
      </c>
      <c r="L90" s="228"/>
    </row>
    <row r="91" spans="1:12" s="3" customFormat="1" ht="14.7" customHeight="1" x14ac:dyDescent="0.4">
      <c r="A91" s="299"/>
      <c r="B91" s="226">
        <f t="shared" si="15"/>
        <v>14</v>
      </c>
      <c r="C91" s="3">
        <v>21004</v>
      </c>
      <c r="D91" s="3" t="str">
        <f>VLOOKUP(C91,'Project Status'!C:H,6,FALSE)</f>
        <v>SC SCIENCE &amp; ENGINEERING</v>
      </c>
      <c r="E91" s="3" t="str">
        <f>VLOOKUP(C91,'Project Status'!C:I,7,FALSE)</f>
        <v>SC5 - HVAC Upgrade Floors 1 and 2 (Phase 1)</v>
      </c>
      <c r="F91" s="3" t="str">
        <f>VLOOKUP(C91,'Project Status'!C:K,9,FALSE)</f>
        <v>Construction</v>
      </c>
      <c r="G91" s="3" t="str">
        <f>VLOOKUP(C91,'Project Status'!C:L,10,FALSE)</f>
        <v>Jay Surprenant</v>
      </c>
      <c r="H91" s="300"/>
      <c r="I91" s="204">
        <f>VLOOKUP(C91,'Project Status'!C:U,19,FALSE)</f>
        <v>992453</v>
      </c>
      <c r="J91" s="268"/>
      <c r="K91" s="154">
        <f t="shared" si="16"/>
        <v>992453</v>
      </c>
      <c r="L91" s="257"/>
    </row>
    <row r="92" spans="1:12" s="3" customFormat="1" ht="14.7" customHeight="1" x14ac:dyDescent="0.4">
      <c r="A92" s="299"/>
      <c r="B92" s="226">
        <f t="shared" si="15"/>
        <v>15</v>
      </c>
      <c r="C92" s="3">
        <v>21010</v>
      </c>
      <c r="D92" s="3" t="str">
        <f>VLOOKUP(C92,'Project Status'!C:H,6,FALSE)</f>
        <v>FEATHERINGILL-JACOBS HALL</v>
      </c>
      <c r="E92" s="3" t="str">
        <f>VLOOKUP(C92,'Project Status'!C:I,7,FALSE)</f>
        <v>Featheringill-Jacobs Hall - Hot Water Tank Replacement</v>
      </c>
      <c r="F92" s="3" t="str">
        <f>VLOOKUP(C92,'Project Status'!C:K,9,FALSE)</f>
        <v>Financial Closeout</v>
      </c>
      <c r="G92" s="3" t="str">
        <f>VLOOKUP(C92,'Project Status'!C:L,10,FALSE)</f>
        <v>Sean Rewers</v>
      </c>
      <c r="H92" s="300"/>
      <c r="I92" s="204">
        <f>VLOOKUP(C92,'Project Status'!C:U,19,FALSE)</f>
        <v>126024</v>
      </c>
      <c r="J92" s="227"/>
      <c r="K92" s="154">
        <f t="shared" si="16"/>
        <v>126024</v>
      </c>
      <c r="L92" s="257"/>
    </row>
    <row r="93" spans="1:12" s="3" customFormat="1" ht="14.7" customHeight="1" x14ac:dyDescent="0.4">
      <c r="A93" s="299"/>
      <c r="B93" s="226">
        <f t="shared" si="15"/>
        <v>16</v>
      </c>
      <c r="C93">
        <v>21066</v>
      </c>
      <c r="D93" s="3" t="str">
        <f>VLOOKUP(C93,'Project Status'!C:H,6,FALSE)</f>
        <v>SC MOLEC BIOLOGY</v>
      </c>
      <c r="E93" s="3" t="str">
        <f>VLOOKUP(C93,'Project Status'!C:I,7,FALSE)</f>
        <v>SC2 - MEP Feasibility Study</v>
      </c>
      <c r="F93" s="3" t="str">
        <f>VLOOKUP(C93,'Project Status'!C:K,9,FALSE)</f>
        <v>Programming or Planning</v>
      </c>
      <c r="G93" s="3" t="str">
        <f>VLOOKUP(C93,'Project Status'!C:L,10,FALSE)</f>
        <v>Sean Rewers</v>
      </c>
      <c r="H93" s="300"/>
      <c r="I93" s="204">
        <f>VLOOKUP(C93,'Project Status'!C:U,19,FALSE)</f>
        <v>29160</v>
      </c>
      <c r="J93" s="227"/>
      <c r="K93" s="154">
        <f t="shared" ref="K93:K101" si="18">SUM(I93:J93)</f>
        <v>29160</v>
      </c>
      <c r="L93" s="257"/>
    </row>
    <row r="94" spans="1:12" s="3" customFormat="1" ht="14.7" customHeight="1" x14ac:dyDescent="0.4">
      <c r="A94" s="299"/>
      <c r="B94" s="226">
        <f t="shared" si="15"/>
        <v>17</v>
      </c>
      <c r="C94">
        <v>21067</v>
      </c>
      <c r="D94" s="3" t="str">
        <f>VLOOKUP(C94,'Project Status'!C:H,6,FALSE)</f>
        <v>GODCHAUX HALL</v>
      </c>
      <c r="E94" s="3" t="str">
        <f>VLOOKUP(C94,'Project Status'!C:I,7,FALSE)</f>
        <v>Godchaux Hall - Phase 2 HVAC Upgrades and Roof Replacement</v>
      </c>
      <c r="F94" s="3" t="str">
        <f>VLOOKUP(C94,'Project Status'!C:K,9,FALSE)</f>
        <v>Design</v>
      </c>
      <c r="G94" s="3" t="str">
        <f>VLOOKUP(C94,'Project Status'!C:L,10,FALSE)</f>
        <v>Sean Rewers</v>
      </c>
      <c r="H94" s="300"/>
      <c r="I94" s="204">
        <f>VLOOKUP(C94,'Project Status'!C:U,19,FALSE)</f>
        <v>46600</v>
      </c>
      <c r="J94" s="227"/>
      <c r="K94" s="154">
        <f t="shared" si="18"/>
        <v>46600</v>
      </c>
      <c r="L94" s="257"/>
    </row>
    <row r="95" spans="1:12" s="3" customFormat="1" ht="14.7" customHeight="1" x14ac:dyDescent="0.4">
      <c r="A95" s="299"/>
      <c r="B95" s="226">
        <f t="shared" si="15"/>
        <v>18</v>
      </c>
      <c r="C95">
        <v>21068</v>
      </c>
      <c r="D95" s="3" t="str">
        <f>VLOOKUP(C95,'Project Status'!C:H,6,FALSE)</f>
        <v>BUTTRICK HALL</v>
      </c>
      <c r="E95" s="3" t="str">
        <f>VLOOKUP(C95,'Project Status'!C:I,7,FALSE)</f>
        <v>Buttrick Hall - Insulate First Floor Slab</v>
      </c>
      <c r="F95" s="3" t="str">
        <f>VLOOKUP(C95,'Project Status'!C:K,9,FALSE)</f>
        <v>Construction Closeout</v>
      </c>
      <c r="G95" s="3" t="str">
        <f>VLOOKUP(C95,'Project Status'!C:L,10,FALSE)</f>
        <v>Jay Surprenant</v>
      </c>
      <c r="H95" s="300"/>
      <c r="I95" s="204">
        <f>VLOOKUP(C95,'Project Status'!C:U,19,FALSE)</f>
        <v>34837.4</v>
      </c>
      <c r="J95" s="227"/>
      <c r="K95" s="154">
        <f t="shared" si="18"/>
        <v>34837.4</v>
      </c>
      <c r="L95" s="257"/>
    </row>
    <row r="96" spans="1:12" s="3" customFormat="1" ht="14.7" customHeight="1" x14ac:dyDescent="0.4">
      <c r="A96" s="299"/>
      <c r="B96" s="226">
        <f t="shared" si="15"/>
        <v>19</v>
      </c>
      <c r="C96">
        <v>21070</v>
      </c>
      <c r="D96" s="3" t="str">
        <f>VLOOKUP(C96,'Project Status'!C:H,6,FALSE)</f>
        <v>OLIN HALL</v>
      </c>
      <c r="E96" s="3" t="str">
        <f>VLOOKUP(C96,'Project Status'!C:I,7,FALSE)</f>
        <v>Olin Hall - Exterior Facade Cleaning</v>
      </c>
      <c r="F96" s="3" t="str">
        <f>VLOOKUP(C96,'Project Status'!C:K,9,FALSE)</f>
        <v>Warranty or Construction Closeout</v>
      </c>
      <c r="G96" s="3" t="str">
        <f>VLOOKUP(C96,'Project Status'!C:L,10,FALSE)</f>
        <v>Ben Bedock</v>
      </c>
      <c r="H96" s="300"/>
      <c r="I96" s="204">
        <f>VLOOKUP(C96,'Project Status'!C:U,19,FALSE)</f>
        <v>392042.1</v>
      </c>
      <c r="J96" s="227"/>
      <c r="K96" s="154">
        <f t="shared" si="18"/>
        <v>392042.1</v>
      </c>
      <c r="L96" s="257"/>
    </row>
    <row r="97" spans="1:13" s="3" customFormat="1" ht="14.7" customHeight="1" x14ac:dyDescent="0.4">
      <c r="A97" s="299"/>
      <c r="B97" s="226">
        <f t="shared" si="15"/>
        <v>20</v>
      </c>
      <c r="C97">
        <v>21071</v>
      </c>
      <c r="D97" s="3" t="str">
        <f>VLOOKUP(C97,'Project Status'!C:H,6,FALSE)</f>
        <v>SC MATH</v>
      </c>
      <c r="E97" s="3" t="str">
        <f>VLOOKUP(C97,'Project Status'!C:I,7,FALSE)</f>
        <v>SC1 - MEP Feasibility Study</v>
      </c>
      <c r="F97" s="3" t="str">
        <f>VLOOKUP(C97,'Project Status'!C:K,9,FALSE)</f>
        <v>Programming or Planning</v>
      </c>
      <c r="G97" s="3" t="str">
        <f>VLOOKUP(C97,'Project Status'!C:L,10,FALSE)</f>
        <v>Sean Rewers</v>
      </c>
      <c r="H97" s="300"/>
      <c r="I97" s="204">
        <f>VLOOKUP(C97,'Project Status'!C:U,19,FALSE)</f>
        <v>19440</v>
      </c>
      <c r="J97" s="227"/>
      <c r="K97" s="154">
        <f t="shared" si="18"/>
        <v>19440</v>
      </c>
      <c r="L97" s="257"/>
    </row>
    <row r="98" spans="1:13" s="3" customFormat="1" ht="14.7" customHeight="1" x14ac:dyDescent="0.4">
      <c r="A98" s="299"/>
      <c r="B98" s="226">
        <f t="shared" si="15"/>
        <v>21</v>
      </c>
      <c r="C98">
        <v>21094</v>
      </c>
      <c r="D98" s="3" t="str">
        <f>VLOOKUP(C98,'Project Status'!C:H,6,FALSE)</f>
        <v>GODCHAUX HALL</v>
      </c>
      <c r="E98" s="3" t="str">
        <f>VLOOKUP(C98,'Project Status'!C:I,7,FALSE)</f>
        <v>Godchaux Hall - Replace Fire Pump</v>
      </c>
      <c r="F98" s="3" t="str">
        <f>VLOOKUP(C98,'Project Status'!C:K,9,FALSE)</f>
        <v>Construction</v>
      </c>
      <c r="G98" s="3" t="str">
        <f>VLOOKUP(C98,'Project Status'!C:L,10,FALSE)</f>
        <v>Sean Rewers</v>
      </c>
      <c r="H98" s="300"/>
      <c r="I98" s="204">
        <f>VLOOKUP(C98,'Project Status'!C:U,19,FALSE)</f>
        <v>87500</v>
      </c>
      <c r="J98" s="227"/>
      <c r="K98" s="154">
        <f t="shared" si="18"/>
        <v>87500</v>
      </c>
      <c r="L98" s="257"/>
    </row>
    <row r="99" spans="1:13" s="3" customFormat="1" ht="14.7" customHeight="1" x14ac:dyDescent="0.4">
      <c r="A99" s="299"/>
      <c r="B99" s="226">
        <f t="shared" si="15"/>
        <v>22</v>
      </c>
      <c r="C99">
        <v>21108</v>
      </c>
      <c r="D99" s="3" t="str">
        <f>VLOOKUP(C99,'Project Status'!C:H,6,FALSE)</f>
        <v>1025 16TH AVE S</v>
      </c>
      <c r="E99" s="3" t="str">
        <f>VLOOKUP(C99,'Project Status'!C:I,7,FALSE)</f>
        <v>1025 16th Avenue - Electrical and HVAC Study</v>
      </c>
      <c r="F99" s="3" t="str">
        <f>VLOOKUP(C99,'Project Status'!C:K,9,FALSE)</f>
        <v>Finalized</v>
      </c>
      <c r="G99" s="3" t="str">
        <f>VLOOKUP(C99,'Project Status'!C:L,10,FALSE)</f>
        <v>Sean Rewers</v>
      </c>
      <c r="H99" s="300"/>
      <c r="I99" s="204">
        <f>VLOOKUP(C99,'Project Status'!C:U,19,FALSE)</f>
        <v>5000</v>
      </c>
      <c r="J99" s="227"/>
      <c r="K99" s="154">
        <f t="shared" si="18"/>
        <v>5000</v>
      </c>
      <c r="L99" s="257"/>
    </row>
    <row r="100" spans="1:13" s="3" customFormat="1" ht="14.7" customHeight="1" x14ac:dyDescent="0.4">
      <c r="A100" s="299"/>
      <c r="B100" s="226">
        <f t="shared" si="15"/>
        <v>23</v>
      </c>
      <c r="C100" s="3">
        <v>21113</v>
      </c>
      <c r="D100" s="3" t="str">
        <f>VLOOKUP(C100,'Project Status'!C:H,6,FALSE)</f>
        <v>MRB III BIO/SCI</v>
      </c>
      <c r="E100" s="3" t="str">
        <f>VLOOKUP(C100,'Project Status'!C:I,7,FALSE)</f>
        <v>MRBIII - Lecture Hall V1220 Lighting Upgrade</v>
      </c>
      <c r="F100" s="3" t="str">
        <f>VLOOKUP(C100,'Project Status'!C:K,9,FALSE)</f>
        <v>Bidding</v>
      </c>
      <c r="G100" s="3" t="str">
        <f>VLOOKUP(C100,'Project Status'!C:L,10,FALSE)</f>
        <v>Jay Surprenant</v>
      </c>
      <c r="H100" s="300"/>
      <c r="I100" s="271">
        <f>VLOOKUP(C100,'Project Status'!C:U,19,FALSE)</f>
        <v>82125</v>
      </c>
      <c r="J100" s="268"/>
      <c r="K100" s="270">
        <f t="shared" si="18"/>
        <v>82125</v>
      </c>
      <c r="L100" s="257"/>
    </row>
    <row r="101" spans="1:13" s="3" customFormat="1" ht="14.7" customHeight="1" x14ac:dyDescent="0.4">
      <c r="A101" s="299"/>
      <c r="B101" s="226">
        <f t="shared" si="15"/>
        <v>24</v>
      </c>
      <c r="C101" s="3">
        <v>21114</v>
      </c>
      <c r="D101" s="3" t="str">
        <f>VLOOKUP(C101,'Project Status'!C:H,6,FALSE)</f>
        <v>MRB III BIO/SCI</v>
      </c>
      <c r="E101" s="3" t="str">
        <f>VLOOKUP(C101,'Project Status'!C:I,7,FALSE)</f>
        <v>MRBIII - Chemical Discharge Tank Replacement</v>
      </c>
      <c r="F101" s="3" t="str">
        <f>VLOOKUP(C101,'Project Status'!C:K,9,FALSE)</f>
        <v>Construction</v>
      </c>
      <c r="G101" s="3" t="str">
        <f>VLOOKUP(C101,'Project Status'!C:L,10,FALSE)</f>
        <v>Jay Surprenant</v>
      </c>
      <c r="H101" s="300"/>
      <c r="I101" s="204">
        <f>VLOOKUP(C101,'Project Status'!C:U,19,FALSE)</f>
        <v>68452</v>
      </c>
      <c r="J101" s="227"/>
      <c r="K101" s="270">
        <f t="shared" si="18"/>
        <v>68452</v>
      </c>
      <c r="L101" s="213"/>
    </row>
    <row r="102" spans="1:13" ht="14.7" customHeight="1" x14ac:dyDescent="0.4">
      <c r="A102" s="299"/>
      <c r="B102" s="226">
        <f t="shared" si="15"/>
        <v>25</v>
      </c>
      <c r="C102">
        <v>20979</v>
      </c>
      <c r="D102" s="3" t="str">
        <f>VLOOKUP(C102,'Project Status'!C:H,6,FALSE)</f>
        <v>1025 16TH AVE S</v>
      </c>
      <c r="E102" s="3" t="str">
        <f>VLOOKUP(C102,'Project Status'!C:I,7,FALSE)</f>
        <v>1025 16th Avenue - Roof Replacement</v>
      </c>
      <c r="F102" s="3" t="str">
        <f>VLOOKUP(C102,'Project Status'!C:K,9,FALSE)</f>
        <v>Construction</v>
      </c>
      <c r="G102" s="3" t="str">
        <f>VLOOKUP(C102,'Project Status'!C:L,10,FALSE)</f>
        <v>Kylie Mignoli</v>
      </c>
      <c r="H102" s="300"/>
      <c r="I102" s="204">
        <f>VLOOKUP(C102,'Project Status'!C:U,19,FALSE)</f>
        <v>529750</v>
      </c>
      <c r="J102" s="227"/>
      <c r="K102" s="154">
        <f t="shared" ref="K102" si="19">SUM(I102:J102)</f>
        <v>529750</v>
      </c>
      <c r="L102" s="213" t="s">
        <v>371</v>
      </c>
    </row>
    <row r="103" spans="1:13" ht="14.7" customHeight="1" x14ac:dyDescent="0.4">
      <c r="A103" s="299"/>
      <c r="B103" s="226">
        <f t="shared" si="15"/>
        <v>26</v>
      </c>
      <c r="C103">
        <v>21035</v>
      </c>
      <c r="D103" s="3" t="str">
        <f>VLOOKUP(C103,'Project Status'!C:H,6,FALSE)</f>
        <v>LAW SCHOOL</v>
      </c>
      <c r="E103" s="3" t="str">
        <f>VLOOKUP(C103,'Project Status'!C:I,7,FALSE)</f>
        <v>Law School - Roof Ladders</v>
      </c>
      <c r="F103" s="3" t="str">
        <f>VLOOKUP(C103,'Project Status'!C:K,9,FALSE)</f>
        <v>Warranty or Construction Closeout</v>
      </c>
      <c r="G103" s="3" t="str">
        <f>VLOOKUP(C103,'Project Status'!C:L,10,FALSE)</f>
        <v>Ben Bedock</v>
      </c>
      <c r="H103" s="300"/>
      <c r="I103" s="204">
        <f>VLOOKUP(C103,'Project Status'!C:U,19,FALSE)</f>
        <v>36108.160000000003</v>
      </c>
      <c r="J103" s="227"/>
      <c r="K103" s="154">
        <f t="shared" ref="K103" si="20">SUM(I103:J103)</f>
        <v>36108.160000000003</v>
      </c>
      <c r="L103" s="256" t="s">
        <v>372</v>
      </c>
    </row>
    <row r="104" spans="1:13" s="19" customFormat="1" ht="14.7" customHeight="1" x14ac:dyDescent="0.4">
      <c r="A104" s="299"/>
      <c r="D104" s="214"/>
      <c r="E104" s="265"/>
      <c r="F104" s="214"/>
      <c r="G104" s="214"/>
      <c r="H104" s="300"/>
      <c r="I104" s="204"/>
      <c r="J104" s="227"/>
      <c r="K104" s="154"/>
      <c r="L104" s="256"/>
    </row>
    <row r="105" spans="1:13" ht="14.7" customHeight="1" x14ac:dyDescent="0.4">
      <c r="A105" s="299"/>
      <c r="C105" s="214">
        <v>20179</v>
      </c>
      <c r="D105" s="214" t="str">
        <f>VLOOKUP(C105,'Project Status'!C:H,6,FALSE)</f>
        <v>LAW SCHOOL</v>
      </c>
      <c r="E105" s="214" t="str">
        <f>VLOOKUP(C105,'Project Status'!C:I,7,FALSE)</f>
        <v>Law School - Fire Alarm System Replacement</v>
      </c>
      <c r="F105" s="214" t="str">
        <f>VLOOKUP(C105,'Project Status'!C:K,9,FALSE)</f>
        <v>Finalized</v>
      </c>
      <c r="G105" s="214" t="str">
        <f>VLOOKUP(C105,'Project Status'!C:L,10,FALSE)</f>
        <v>Bob Grummon</v>
      </c>
      <c r="H105" s="300"/>
      <c r="I105" s="204">
        <f>VLOOKUP(C105,'Project Status'!C:U,19,FALSE)</f>
        <v>-92965.86</v>
      </c>
      <c r="J105" s="227"/>
      <c r="K105" s="154">
        <f>SUM(I105:J105)</f>
        <v>-92965.86</v>
      </c>
      <c r="L105" s="257">
        <f>L75</f>
        <v>169023.08999999985</v>
      </c>
      <c r="M105" s="264"/>
    </row>
    <row r="106" spans="1:13" ht="14.7" customHeight="1" x14ac:dyDescent="0.4">
      <c r="A106" s="299"/>
      <c r="C106" s="214">
        <v>20924</v>
      </c>
      <c r="D106" s="214" t="str">
        <f>VLOOKUP(C106,'Project Status'!C:H,6,FALSE)</f>
        <v>FRIST HALL</v>
      </c>
      <c r="E106" s="214" t="str">
        <f>VLOOKUP(C106,'Project Status'!C:I,7,FALSE)</f>
        <v>Frist Hall - Stairwell Roof Replacement</v>
      </c>
      <c r="F106" s="214" t="str">
        <f>VLOOKUP(C106,'Project Status'!C:K,9,FALSE)</f>
        <v>Finalized</v>
      </c>
      <c r="G106" s="214" t="str">
        <f>VLOOKUP(C106,'Project Status'!C:L,10,FALSE)</f>
        <v>Ben Bedock</v>
      </c>
      <c r="H106" s="300"/>
      <c r="I106" s="204">
        <f>VLOOKUP(C106,'Project Status'!C:U,19,FALSE)</f>
        <v>-6070</v>
      </c>
      <c r="J106" s="227"/>
      <c r="K106" s="154">
        <f t="shared" ref="K106" si="21">SUM(I106:J106)</f>
        <v>-6070</v>
      </c>
      <c r="L106" s="225"/>
    </row>
    <row r="107" spans="1:13" x14ac:dyDescent="0.4">
      <c r="A107" s="299"/>
      <c r="E107" s="20"/>
      <c r="F107" s="20"/>
      <c r="G107" s="20"/>
      <c r="H107" s="300"/>
      <c r="K107" s="146"/>
      <c r="L107" s="170"/>
    </row>
    <row r="108" spans="1:13" x14ac:dyDescent="0.4">
      <c r="D108" s="146"/>
      <c r="G108" s="263"/>
      <c r="H108" s="300"/>
      <c r="I108" s="155">
        <f>SUM(I78:I107)</f>
        <v>10171078.440000001</v>
      </c>
      <c r="J108" s="155">
        <f>SUM(J78:J107)</f>
        <v>0</v>
      </c>
      <c r="K108" s="155">
        <f>SUM(K78:K107)</f>
        <v>10171078.440000001</v>
      </c>
      <c r="L108" s="155">
        <f>H78-K108+L105</f>
        <v>2855229.1122652441</v>
      </c>
    </row>
    <row r="109" spans="1:13" x14ac:dyDescent="0.4">
      <c r="D109" s="146"/>
      <c r="I109" s="264" t="b">
        <f>I108='JE LOG_FY25'!C21</f>
        <v>1</v>
      </c>
      <c r="L109" s="264"/>
    </row>
    <row r="110" spans="1:13" x14ac:dyDescent="0.4">
      <c r="A110" s="301" t="s">
        <v>324</v>
      </c>
      <c r="B110" s="181"/>
      <c r="C110" s="181" t="s">
        <v>443</v>
      </c>
      <c r="D110" s="181" t="s">
        <v>113</v>
      </c>
      <c r="E110" s="181" t="s">
        <v>87</v>
      </c>
      <c r="F110" s="221" t="s">
        <v>127</v>
      </c>
      <c r="G110" s="221" t="s">
        <v>128</v>
      </c>
      <c r="H110" s="179" t="s">
        <v>280</v>
      </c>
      <c r="I110" s="182" t="s">
        <v>246</v>
      </c>
      <c r="J110" s="182" t="s">
        <v>278</v>
      </c>
      <c r="K110" s="183" t="s">
        <v>277</v>
      </c>
      <c r="L110" s="180" t="s">
        <v>247</v>
      </c>
    </row>
    <row r="111" spans="1:13" ht="14.7" customHeight="1" x14ac:dyDescent="0.4">
      <c r="A111" s="301"/>
      <c r="B111" s="95">
        <v>1</v>
      </c>
      <c r="C111">
        <v>20489</v>
      </c>
      <c r="D111" t="str">
        <f>VLOOKUP(C111,'Project Status'!C:H,6,FALSE)</f>
        <v>DIVINITY</v>
      </c>
      <c r="E111" t="str">
        <f>VLOOKUP(C111,'Project Status'!C:I,7,FALSE)</f>
        <v>Divinity Air Handling Unit Replacement,(1/3) - Phase 2 with Benton - FY26</v>
      </c>
      <c r="F111" t="str">
        <f>VLOOKUP(C111,'Project Status'!C:K,9,FALSE)</f>
        <v>Construction</v>
      </c>
      <c r="G111" t="str">
        <f>VLOOKUP(C111,'Project Status'!C:L,10,FALSE)</f>
        <v>Jay Surprenant</v>
      </c>
      <c r="H111" s="302">
        <f>Contributions!O15</f>
        <v>13263819.65337811</v>
      </c>
      <c r="I111" s="20">
        <f>VLOOKUP(C111,'Project Status'!C:V,20,FALSE)</f>
        <v>2369000</v>
      </c>
      <c r="J111" s="153">
        <f>VLOOKUP(C111,'Project Status'!C:W,21,FALSE)</f>
        <v>0</v>
      </c>
      <c r="K111" s="154">
        <f t="shared" ref="K111:K117" si="22">IF(J111="TBD","TBD",I111+J111)</f>
        <v>2369000</v>
      </c>
      <c r="L111" s="52"/>
    </row>
    <row r="112" spans="1:13" x14ac:dyDescent="0.4">
      <c r="A112" s="301"/>
      <c r="B112" s="95">
        <f>B111+1</f>
        <v>2</v>
      </c>
      <c r="C112">
        <v>20925</v>
      </c>
      <c r="D112" t="str">
        <f>VLOOKUP(C112,'Project Status'!C:H,6,FALSE)</f>
        <v>BLAIR SCHOOL OF MUSIC</v>
      </c>
      <c r="E112" t="str">
        <f>VLOOKUP(C112,'Project Status'!C:I,7,FALSE)</f>
        <v>Blair School of Music - AHU 2/3 Replacement  - Phase 2 - FY26</v>
      </c>
      <c r="F112" t="str">
        <f>VLOOKUP(C112,'Project Status'!C:K,9,FALSE)</f>
        <v>Construction</v>
      </c>
      <c r="G112" t="str">
        <f>VLOOKUP(C112,'Project Status'!C:L,10,FALSE)</f>
        <v>Jay Surprenant</v>
      </c>
      <c r="H112" s="302"/>
      <c r="I112" s="20">
        <f>VLOOKUP(C112,'Project Status'!C:V,20,FALSE)</f>
        <v>1716000</v>
      </c>
      <c r="J112" s="153">
        <f>VLOOKUP(C112,'Project Status'!C:W,21,FALSE)</f>
        <v>0</v>
      </c>
      <c r="K112" s="154">
        <f t="shared" si="22"/>
        <v>1716000</v>
      </c>
      <c r="L112" s="52"/>
    </row>
    <row r="113" spans="1:12" x14ac:dyDescent="0.4">
      <c r="A113" s="301"/>
      <c r="B113" s="95">
        <f t="shared" ref="B113:B129" si="23">B112+1</f>
        <v>3</v>
      </c>
      <c r="C113" s="3">
        <v>20962</v>
      </c>
      <c r="D113" t="str">
        <f>VLOOKUP(C113,'Project Status'!C:H,6,FALSE)</f>
        <v>VAUGHN HOME</v>
      </c>
      <c r="E113" t="str">
        <f>VLOOKUP(C113,'Project Status'!C:I,7,FALSE)</f>
        <v>Vaughn Home - Roof Replacement</v>
      </c>
      <c r="F113" t="str">
        <f>VLOOKUP(C113,'Project Status'!C:K,9,FALSE)</f>
        <v>Design</v>
      </c>
      <c r="G113" t="str">
        <f>VLOOKUP(C113,'Project Status'!C:L,10,FALSE)</f>
        <v>Ben Bedock</v>
      </c>
      <c r="H113" s="302"/>
      <c r="I113" s="20">
        <f>VLOOKUP(C113,'Project Status'!C:V,20,FALSE)</f>
        <v>0</v>
      </c>
      <c r="J113" s="153">
        <f>VLOOKUP(C113,'Project Status'!C:W,21,FALSE)</f>
        <v>500000</v>
      </c>
      <c r="K113" s="154">
        <f t="shared" si="22"/>
        <v>500000</v>
      </c>
      <c r="L113" s="52"/>
    </row>
    <row r="114" spans="1:12" x14ac:dyDescent="0.4">
      <c r="A114" s="301"/>
      <c r="B114" s="95">
        <f t="shared" si="23"/>
        <v>4</v>
      </c>
      <c r="C114">
        <v>21006</v>
      </c>
      <c r="D114" t="str">
        <f>VLOOKUP(C114,'Project Status'!C:H,6,FALSE)</f>
        <v>SC SCIENCE &amp; ENGINEERING</v>
      </c>
      <c r="E114" t="str">
        <f>VLOOKUP(C114,'Project Status'!C:I,7,FALSE)</f>
        <v>SC5 - HVAC Upgrade Floors 3 and 6 (Phase 3)</v>
      </c>
      <c r="F114" t="str">
        <f>VLOOKUP(C114,'Project Status'!C:K,9,FALSE)</f>
        <v>Programming or Planning</v>
      </c>
      <c r="G114" t="str">
        <f>VLOOKUP(C114,'Project Status'!C:L,10,FALSE)</f>
        <v>Jay Surprenant</v>
      </c>
      <c r="H114" s="302"/>
      <c r="I114" s="20">
        <f>VLOOKUP(C114,'Project Status'!C:V,20,FALSE)</f>
        <v>0</v>
      </c>
      <c r="J114" s="153" t="str">
        <f>VLOOKUP(C114,'Project Status'!C:W,21,FALSE)</f>
        <v>TBD</v>
      </c>
      <c r="K114" s="154" t="str">
        <f t="shared" si="22"/>
        <v>TBD</v>
      </c>
      <c r="L114" s="52"/>
    </row>
    <row r="115" spans="1:12" x14ac:dyDescent="0.4">
      <c r="A115" s="301"/>
      <c r="B115" s="95">
        <f t="shared" si="23"/>
        <v>5</v>
      </c>
      <c r="C115">
        <v>21051</v>
      </c>
      <c r="D115" t="str">
        <f>VLOOKUP(C115,'Project Status'!C:H,6,FALSE)</f>
        <v>MRB III BIO/SCI</v>
      </c>
      <c r="E115" t="str">
        <f>VLOOKUP(C115,'Project Status'!C:I,7,FALSE)</f>
        <v>MRBIII - 5th Floor Controls</v>
      </c>
      <c r="F115" t="str">
        <f>VLOOKUP(C115,'Project Status'!C:K,9,FALSE)</f>
        <v>Design</v>
      </c>
      <c r="G115" t="str">
        <f>VLOOKUP(C115,'Project Status'!C:L,10,FALSE)</f>
        <v>Jay Surprenant</v>
      </c>
      <c r="H115" s="302"/>
      <c r="I115" s="20">
        <f>VLOOKUP(C115,'Project Status'!C:V,20,FALSE)</f>
        <v>0</v>
      </c>
      <c r="J115" s="153">
        <f>VLOOKUP(C115,'Project Status'!C:W,21,FALSE)</f>
        <v>1600000</v>
      </c>
      <c r="K115" s="154">
        <f t="shared" si="22"/>
        <v>1600000</v>
      </c>
      <c r="L115" s="52"/>
    </row>
    <row r="116" spans="1:12" x14ac:dyDescent="0.4">
      <c r="A116" s="301"/>
      <c r="B116" s="95">
        <f t="shared" si="23"/>
        <v>6</v>
      </c>
      <c r="C116">
        <v>21067</v>
      </c>
      <c r="D116" t="str">
        <f>VLOOKUP(C116,'Project Status'!C:H,6,FALSE)</f>
        <v>GODCHAUX HALL</v>
      </c>
      <c r="E116" t="str">
        <f>VLOOKUP(C116,'Project Status'!C:I,7,FALSE)</f>
        <v>Godchaux Hall - Phase 2 HVAC Upgrades and Roof Replacement</v>
      </c>
      <c r="F116" t="str">
        <f>VLOOKUP(C116,'Project Status'!C:K,9,FALSE)</f>
        <v>Design</v>
      </c>
      <c r="G116" t="str">
        <f>VLOOKUP(C116,'Project Status'!C:L,10,FALSE)</f>
        <v>Sean Rewers</v>
      </c>
      <c r="H116" s="302"/>
      <c r="I116" s="20">
        <f>VLOOKUP(C116,'Project Status'!C:V,20,FALSE)</f>
        <v>0</v>
      </c>
      <c r="J116" s="153">
        <f>VLOOKUP(C116,'Project Status'!C:W,21,FALSE)</f>
        <v>2100000</v>
      </c>
      <c r="K116" s="154">
        <f t="shared" si="22"/>
        <v>2100000</v>
      </c>
      <c r="L116" s="52"/>
    </row>
    <row r="117" spans="1:12" x14ac:dyDescent="0.4">
      <c r="A117" s="301"/>
      <c r="B117" s="95">
        <f t="shared" si="23"/>
        <v>7</v>
      </c>
      <c r="C117">
        <v>21127</v>
      </c>
      <c r="D117" t="str">
        <f>VLOOKUP(C117,'Project Status'!C:H,6,FALSE)</f>
        <v>MRB III BIO/SCI</v>
      </c>
      <c r="E117" t="str">
        <f>VLOOKUP(C117,'Project Status'!C:I,7,FALSE)</f>
        <v>MRBIII - Cooling Tower Overhaul</v>
      </c>
      <c r="F117" t="str">
        <f>VLOOKUP(C117,'Project Status'!C:K,9,FALSE)</f>
        <v>Award</v>
      </c>
      <c r="G117" t="str">
        <f>VLOOKUP(C117,'Project Status'!C:L,10,FALSE)</f>
        <v>Jay Surprenant</v>
      </c>
      <c r="H117" s="302"/>
      <c r="I117" s="20">
        <f>VLOOKUP(C117,'Project Status'!C:V,20,FALSE)</f>
        <v>449020</v>
      </c>
      <c r="J117" s="153">
        <f>VLOOKUP(C117,'Project Status'!C:W,21,FALSE)</f>
        <v>0</v>
      </c>
      <c r="K117" s="154">
        <f t="shared" si="22"/>
        <v>449020</v>
      </c>
      <c r="L117" s="52"/>
    </row>
    <row r="118" spans="1:12" x14ac:dyDescent="0.4">
      <c r="A118" s="301"/>
      <c r="B118" s="95">
        <f t="shared" si="23"/>
        <v>8</v>
      </c>
      <c r="C118">
        <v>21155</v>
      </c>
      <c r="D118" t="str">
        <f>VLOOKUP(C118,'Project Status'!C:H,6,FALSE)</f>
        <v>SC MOLEC BIOLOGY</v>
      </c>
      <c r="E118" t="str">
        <f>VLOOKUP(C118,'Project Status'!C:I,7,FALSE)</f>
        <v>SC2 Restroom Upgrades</v>
      </c>
      <c r="F118" t="str">
        <f>VLOOKUP(C118,'Project Status'!C:K,9,FALSE)</f>
        <v>Not Started</v>
      </c>
      <c r="G118" t="str">
        <f>VLOOKUP(C118,'Project Status'!C:L,10,FALSE)</f>
        <v>Daniel Capparella</v>
      </c>
      <c r="H118" s="302"/>
      <c r="I118" s="20">
        <f>VLOOKUP(C118,'Project Status'!C:V,20,FALSE)</f>
        <v>0</v>
      </c>
      <c r="J118" s="153">
        <f>VLOOKUP(C118,'Project Status'!C:W,21,FALSE)</f>
        <v>750000</v>
      </c>
      <c r="K118" s="154">
        <f t="shared" ref="K118" si="24">IF(J118="TBD","TBD",I118+J118)</f>
        <v>750000</v>
      </c>
      <c r="L118" s="52"/>
    </row>
    <row r="119" spans="1:12" x14ac:dyDescent="0.4">
      <c r="A119" s="301"/>
      <c r="B119" s="95">
        <f t="shared" si="23"/>
        <v>9</v>
      </c>
      <c r="C119">
        <v>21156</v>
      </c>
      <c r="D119" t="str">
        <f>VLOOKUP(C119,'Project Status'!C:H,6,FALSE)</f>
        <v>OLIN HALL</v>
      </c>
      <c r="E119" t="str">
        <f>VLOOKUP(C119,'Project Status'!C:I,7,FALSE)</f>
        <v>Olin Hall 2nd Floor Chiller</v>
      </c>
      <c r="F119" t="str">
        <f>VLOOKUP(C119,'Project Status'!C:K,9,FALSE)</f>
        <v>Construction</v>
      </c>
      <c r="G119" t="str">
        <f>VLOOKUP(C119,'Project Status'!C:L,10,FALSE)</f>
        <v>Ross Baggay</v>
      </c>
      <c r="H119" s="302"/>
      <c r="I119" s="20">
        <f>VLOOKUP(C119,'Project Status'!C:V,20,FALSE)</f>
        <v>0</v>
      </c>
      <c r="J119" s="153">
        <f>VLOOKUP(C119,'Project Status'!C:W,21,FALSE)</f>
        <v>340000</v>
      </c>
      <c r="K119" s="154">
        <f t="shared" ref="K119" si="25">IF(J119="TBD","TBD",I119+J119)</f>
        <v>340000</v>
      </c>
      <c r="L119" s="52"/>
    </row>
    <row r="120" spans="1:12" x14ac:dyDescent="0.4">
      <c r="A120" s="301"/>
      <c r="B120" s="95">
        <f t="shared" si="23"/>
        <v>10</v>
      </c>
      <c r="C120">
        <v>21165</v>
      </c>
      <c r="D120" t="str">
        <f>VLOOKUP(C120,'Project Status'!C:H,6,FALSE)</f>
        <v>WYATT CENTER</v>
      </c>
      <c r="E120" t="str">
        <f>VLOOKUP(C120,'Project Status'!C:I,7,FALSE)</f>
        <v>Wyatt Center Rotunda Repairs</v>
      </c>
      <c r="F120" t="str">
        <f>VLOOKUP(C120,'Project Status'!C:K,9,FALSE)</f>
        <v>Programming or Planning</v>
      </c>
      <c r="G120" t="str">
        <f>VLOOKUP(C120,'Project Status'!C:L,10,FALSE)</f>
        <v>Erin Fry</v>
      </c>
      <c r="H120" s="302"/>
      <c r="I120" s="20">
        <f>VLOOKUP(C120,'Project Status'!C:V,20,FALSE)</f>
        <v>0</v>
      </c>
      <c r="J120" s="153" t="str">
        <f>VLOOKUP(C120,'Project Status'!C:W,21,FALSE)</f>
        <v>TBD</v>
      </c>
      <c r="K120" s="154" t="str">
        <f t="shared" ref="K120:K129" si="26">IF(J120="TBD","TBD",I120+J120)</f>
        <v>TBD</v>
      </c>
      <c r="L120" s="52"/>
    </row>
    <row r="121" spans="1:12" x14ac:dyDescent="0.4">
      <c r="A121" s="301"/>
      <c r="B121" s="95">
        <f t="shared" si="23"/>
        <v>11</v>
      </c>
      <c r="C121">
        <v>21171</v>
      </c>
      <c r="D121" t="str">
        <f>VLOOKUP(C121,'Project Status'!C:H,6,FALSE)</f>
        <v>BLAIR SCHOOL OF MUSIC</v>
      </c>
      <c r="E121" t="str">
        <f>VLOOKUP(C121,'Project Status'!C:I,7,FALSE)</f>
        <v>Blair School of Music - AHU-1 Distribution HVAC Replacement</v>
      </c>
      <c r="F121" t="str">
        <f>VLOOKUP(C121,'Project Status'!C:K,9,FALSE)</f>
        <v>Not Started</v>
      </c>
      <c r="G121" t="str">
        <f>VLOOKUP(C121,'Project Status'!C:L,10,FALSE)</f>
        <v>Ben Bedock</v>
      </c>
      <c r="H121" s="302"/>
      <c r="I121" s="20">
        <f>VLOOKUP(C121,'Project Status'!C:V,20,FALSE)</f>
        <v>0</v>
      </c>
      <c r="J121" s="153" t="str">
        <f>VLOOKUP(C121,'Project Status'!C:W,21,FALSE)</f>
        <v>TBD</v>
      </c>
      <c r="K121" s="154" t="str">
        <f t="shared" si="26"/>
        <v>TBD</v>
      </c>
      <c r="L121" s="52"/>
    </row>
    <row r="122" spans="1:12" x14ac:dyDescent="0.4">
      <c r="A122" s="301"/>
      <c r="B122" s="95">
        <f t="shared" si="23"/>
        <v>12</v>
      </c>
      <c r="C122">
        <v>21172</v>
      </c>
      <c r="D122" t="str">
        <f>VLOOKUP(C122,'Project Status'!C:H,6,FALSE)</f>
        <v>BLAIR SCHOOL OF MUSIC</v>
      </c>
      <c r="E122" t="str">
        <f>VLOOKUP(C122,'Project Status'!C:I,7,FALSE)</f>
        <v>Blair School of Music - AHU-2/3 HVACE Distribution Replacement</v>
      </c>
      <c r="F122" t="str">
        <f>VLOOKUP(C122,'Project Status'!C:K,9,FALSE)</f>
        <v>Not Started</v>
      </c>
      <c r="G122" t="str">
        <f>VLOOKUP(C122,'Project Status'!C:L,10,FALSE)</f>
        <v>Ben Bedock</v>
      </c>
      <c r="H122" s="302"/>
      <c r="I122" s="20">
        <f>VLOOKUP(C122,'Project Status'!C:V,20,FALSE)</f>
        <v>0</v>
      </c>
      <c r="J122" s="153" t="str">
        <f>VLOOKUP(C122,'Project Status'!C:W,21,FALSE)</f>
        <v>TBD</v>
      </c>
      <c r="K122" s="154" t="str">
        <f t="shared" si="26"/>
        <v>TBD</v>
      </c>
      <c r="L122" s="52"/>
    </row>
    <row r="123" spans="1:12" x14ac:dyDescent="0.4">
      <c r="A123" s="301"/>
      <c r="B123" s="95">
        <f t="shared" si="23"/>
        <v>13</v>
      </c>
      <c r="C123">
        <v>21173</v>
      </c>
      <c r="D123" t="str">
        <f>VLOOKUP(C123,'Project Status'!C:H,6,FALSE)</f>
        <v>17TH &amp; HORTON</v>
      </c>
      <c r="E123" t="str">
        <f>VLOOKUP(C123,'Project Status'!C:I,7,FALSE)</f>
        <v>17th &amp; Horton Elevators Modernization</v>
      </c>
      <c r="F123" t="str">
        <f>VLOOKUP(C123,'Project Status'!C:K,9,FALSE)</f>
        <v>Not Started</v>
      </c>
      <c r="G123" t="str">
        <f>VLOOKUP(C123,'Project Status'!C:L,10,FALSE)</f>
        <v>Ben Bedock</v>
      </c>
      <c r="H123" s="302"/>
      <c r="I123" s="20">
        <f>VLOOKUP(C123,'Project Status'!C:V,20,FALSE)</f>
        <v>0</v>
      </c>
      <c r="J123" s="153" t="str">
        <f>VLOOKUP(C123,'Project Status'!C:W,21,FALSE)</f>
        <v>TBD</v>
      </c>
      <c r="K123" s="154" t="str">
        <f t="shared" si="26"/>
        <v>TBD</v>
      </c>
      <c r="L123" s="52"/>
    </row>
    <row r="124" spans="1:12" x14ac:dyDescent="0.4">
      <c r="A124" s="301"/>
      <c r="B124" s="95">
        <f t="shared" si="23"/>
        <v>14</v>
      </c>
      <c r="C124">
        <v>21174</v>
      </c>
      <c r="D124" t="str">
        <f>VLOOKUP(C124,'Project Status'!C:H,6,FALSE)</f>
        <v>BUTTRICK HALL</v>
      </c>
      <c r="E124" t="str">
        <f>VLOOKUP(C124,'Project Status'!C:I,7,FALSE)</f>
        <v>Buttrick Hall - Restore / Replace Exterior Wood Doors and Closures</v>
      </c>
      <c r="F124" t="str">
        <f>VLOOKUP(C124,'Project Status'!C:K,9,FALSE)</f>
        <v>Not Started</v>
      </c>
      <c r="G124" t="str">
        <f>VLOOKUP(C124,'Project Status'!C:L,10,FALSE)</f>
        <v>Erin Fry</v>
      </c>
      <c r="H124" s="302"/>
      <c r="I124" s="20">
        <f>VLOOKUP(C124,'Project Status'!C:V,20,FALSE)</f>
        <v>0</v>
      </c>
      <c r="J124" s="153" t="str">
        <f>VLOOKUP(C124,'Project Status'!C:W,21,FALSE)</f>
        <v>TBD</v>
      </c>
      <c r="K124" s="154" t="str">
        <f t="shared" si="26"/>
        <v>TBD</v>
      </c>
      <c r="L124" s="52"/>
    </row>
    <row r="125" spans="1:12" x14ac:dyDescent="0.4">
      <c r="A125" s="301"/>
      <c r="B125" s="95">
        <f t="shared" si="23"/>
        <v>15</v>
      </c>
      <c r="C125">
        <v>21175</v>
      </c>
      <c r="D125" t="str">
        <f>VLOOKUP(C125,'Project Status'!C:H,6,FALSE)</f>
        <v>LAW SCHOOL</v>
      </c>
      <c r="E125" t="str">
        <f>VLOOKUP(C125,'Project Status'!C:I,7,FALSE)</f>
        <v>Law School Partial Roof Replacement</v>
      </c>
      <c r="F125" t="str">
        <f>VLOOKUP(C125,'Project Status'!C:K,9,FALSE)</f>
        <v>Not Started</v>
      </c>
      <c r="G125" t="str">
        <f>VLOOKUP(C125,'Project Status'!C:L,10,FALSE)</f>
        <v>Ben Bedock</v>
      </c>
      <c r="H125" s="302"/>
      <c r="I125" s="20">
        <f>VLOOKUP(C125,'Project Status'!C:V,20,FALSE)</f>
        <v>0</v>
      </c>
      <c r="J125" s="153" t="str">
        <f>VLOOKUP(C125,'Project Status'!C:W,21,FALSE)</f>
        <v>TBD</v>
      </c>
      <c r="K125" s="154" t="str">
        <f t="shared" si="26"/>
        <v>TBD</v>
      </c>
      <c r="L125" s="52"/>
    </row>
    <row r="126" spans="1:12" x14ac:dyDescent="0.4">
      <c r="A126" s="301"/>
      <c r="B126" s="95">
        <f t="shared" si="23"/>
        <v>16</v>
      </c>
      <c r="C126">
        <v>21176</v>
      </c>
      <c r="D126" t="str">
        <f>VLOOKUP(C126,'Project Status'!C:H,6,FALSE)</f>
        <v>LAW SCHOOL</v>
      </c>
      <c r="E126" t="str">
        <f>VLOOKUP(C126,'Project Status'!C:I,7,FALSE)</f>
        <v>Law School Walkway Replacement</v>
      </c>
      <c r="F126" t="str">
        <f>VLOOKUP(C126,'Project Status'!C:K,9,FALSE)</f>
        <v>Programming or Planning</v>
      </c>
      <c r="G126" t="str">
        <f>VLOOKUP(C126,'Project Status'!C:L,10,FALSE)</f>
        <v>Daniel Capparella</v>
      </c>
      <c r="H126" s="302"/>
      <c r="I126" s="20">
        <f>VLOOKUP(C126,'Project Status'!C:V,20,FALSE)</f>
        <v>0</v>
      </c>
      <c r="J126" s="153" t="str">
        <f>VLOOKUP(C126,'Project Status'!C:W,21,FALSE)</f>
        <v>TBD</v>
      </c>
      <c r="K126" s="154" t="str">
        <f t="shared" si="26"/>
        <v>TBD</v>
      </c>
      <c r="L126" s="52"/>
    </row>
    <row r="127" spans="1:12" x14ac:dyDescent="0.4">
      <c r="A127" s="301"/>
      <c r="B127" s="95">
        <f t="shared" si="23"/>
        <v>17</v>
      </c>
      <c r="C127">
        <v>21177</v>
      </c>
      <c r="D127" t="str">
        <f>VLOOKUP(C127,'Project Status'!C:H,6,FALSE)</f>
        <v>SC MOLEC BIOLOGY</v>
      </c>
      <c r="E127" t="str">
        <f>VLOOKUP(C127,'Project Status'!C:I,7,FALSE)</f>
        <v>SC2 Molecular Biology HVAC Replacement</v>
      </c>
      <c r="F127" t="str">
        <f>VLOOKUP(C127,'Project Status'!C:K,9,FALSE)</f>
        <v>Not Started</v>
      </c>
      <c r="G127" t="str">
        <f>VLOOKUP(C127,'Project Status'!C:L,10,FALSE)</f>
        <v>Daniel Capparella</v>
      </c>
      <c r="H127" s="302"/>
      <c r="I127" s="20">
        <f>VLOOKUP(C127,'Project Status'!C:V,20,FALSE)</f>
        <v>0</v>
      </c>
      <c r="J127" s="153" t="str">
        <f>VLOOKUP(C127,'Project Status'!C:W,21,FALSE)</f>
        <v>TBD</v>
      </c>
      <c r="K127" s="154" t="str">
        <f t="shared" si="26"/>
        <v>TBD</v>
      </c>
      <c r="L127" s="52"/>
    </row>
    <row r="128" spans="1:12" x14ac:dyDescent="0.4">
      <c r="A128" s="301"/>
      <c r="B128" s="95">
        <f t="shared" si="23"/>
        <v>18</v>
      </c>
      <c r="C128">
        <v>21178</v>
      </c>
      <c r="D128" t="str">
        <f>VLOOKUP(C128,'Project Status'!C:H,6,FALSE)</f>
        <v>WILSON HALL</v>
      </c>
      <c r="E128" t="str">
        <f>VLOOKUP(C128,'Project Status'!C:I,7,FALSE)</f>
        <v>Wilson Hall - Air Compressor Replacement</v>
      </c>
      <c r="F128" t="str">
        <f>VLOOKUP(C128,'Project Status'!C:K,9,FALSE)</f>
        <v>Not Started</v>
      </c>
      <c r="G128" t="str">
        <f>VLOOKUP(C128,'Project Status'!C:L,10,FALSE)</f>
        <v>Daniel Capparella</v>
      </c>
      <c r="H128" s="302"/>
      <c r="I128" s="20">
        <f>VLOOKUP(C128,'Project Status'!C:V,20,FALSE)</f>
        <v>0</v>
      </c>
      <c r="J128" s="153" t="str">
        <f>VLOOKUP(C128,'Project Status'!C:W,21,FALSE)</f>
        <v>TBD</v>
      </c>
      <c r="K128" s="154" t="str">
        <f t="shared" si="26"/>
        <v>TBD</v>
      </c>
      <c r="L128" s="52"/>
    </row>
    <row r="129" spans="1:12" x14ac:dyDescent="0.4">
      <c r="A129" s="301"/>
      <c r="B129" s="95">
        <f t="shared" si="23"/>
        <v>19</v>
      </c>
      <c r="C129">
        <v>21189</v>
      </c>
      <c r="D129" t="str">
        <f>VLOOKUP(C129,'Project Status'!C:H,6,FALSE)</f>
        <v>BLAIR SCHOOL OF MUSIC</v>
      </c>
      <c r="E129" t="str">
        <f>VLOOKUP(C129,'Project Status'!C:I,7,FALSE)</f>
        <v>Blair School Legacy VAV Replacement</v>
      </c>
      <c r="F129" t="str">
        <f>VLOOKUP(C129,'Project Status'!C:K,9,FALSE)</f>
        <v>Not Started</v>
      </c>
      <c r="G129" t="str">
        <f>VLOOKUP(C129,'Project Status'!C:L,10,FALSE)</f>
        <v>Ben Bedock</v>
      </c>
      <c r="H129" s="302"/>
      <c r="I129" s="20">
        <f>VLOOKUP(C129,'Project Status'!C:V,20,FALSE)</f>
        <v>0</v>
      </c>
      <c r="J129" s="153" t="str">
        <f>VLOOKUP(C129,'Project Status'!C:W,21,FALSE)</f>
        <v>TBD</v>
      </c>
      <c r="K129" s="154" t="str">
        <f t="shared" si="26"/>
        <v>TBD</v>
      </c>
      <c r="L129" s="52"/>
    </row>
    <row r="130" spans="1:12" x14ac:dyDescent="0.4">
      <c r="A130" s="301"/>
      <c r="B130" s="95"/>
      <c r="H130" s="302"/>
      <c r="J130" s="153"/>
      <c r="K130" s="154"/>
      <c r="L130" s="52"/>
    </row>
    <row r="131" spans="1:12" x14ac:dyDescent="0.4">
      <c r="A131" s="301"/>
      <c r="H131" s="302"/>
      <c r="K131" s="146"/>
      <c r="L131" s="52"/>
    </row>
    <row r="132" spans="1:12" x14ac:dyDescent="0.4">
      <c r="A132" s="301"/>
      <c r="C132" s="274"/>
      <c r="D132" s="274"/>
      <c r="E132" s="274"/>
      <c r="H132" s="302"/>
      <c r="J132" s="273"/>
      <c r="K132" s="146"/>
      <c r="L132" s="279" t="s">
        <v>371</v>
      </c>
    </row>
    <row r="133" spans="1:12" x14ac:dyDescent="0.4">
      <c r="A133" s="301"/>
      <c r="C133" s="19">
        <v>20772</v>
      </c>
      <c r="D133" s="19" t="s">
        <v>237</v>
      </c>
      <c r="E133" s="19" t="s">
        <v>337</v>
      </c>
      <c r="F133" s="19" t="s">
        <v>305</v>
      </c>
      <c r="G133" s="19" t="s">
        <v>148</v>
      </c>
      <c r="H133" s="302"/>
      <c r="I133" s="20">
        <f>VLOOKUP(C133,'Project Status'!C:V,20,FALSE)</f>
        <v>-222611.86</v>
      </c>
      <c r="J133" s="153">
        <f>VLOOKUP(C133,'Project Status'!C:W,21,FALSE)</f>
        <v>0</v>
      </c>
      <c r="K133" s="146">
        <f>SUM(I133:J133)</f>
        <v>-222611.86</v>
      </c>
      <c r="L133" s="280" t="s">
        <v>372</v>
      </c>
    </row>
    <row r="134" spans="1:12" x14ac:dyDescent="0.4">
      <c r="A134" s="301"/>
      <c r="H134" s="302"/>
      <c r="K134" s="146"/>
      <c r="L134" s="280"/>
    </row>
    <row r="135" spans="1:12" x14ac:dyDescent="0.4">
      <c r="A135" s="301"/>
      <c r="H135" s="302"/>
      <c r="K135" s="146"/>
      <c r="L135" s="281">
        <f>L108</f>
        <v>2855229.1122652441</v>
      </c>
    </row>
    <row r="136" spans="1:12" ht="14.7" customHeight="1" x14ac:dyDescent="0.4">
      <c r="A136" s="301"/>
      <c r="H136" s="302"/>
      <c r="K136" s="146"/>
      <c r="L136" s="52"/>
    </row>
    <row r="137" spans="1:12" x14ac:dyDescent="0.4">
      <c r="A137" s="301"/>
      <c r="H137" s="302"/>
      <c r="K137" s="146"/>
      <c r="L137" s="52"/>
    </row>
    <row r="138" spans="1:12" x14ac:dyDescent="0.4">
      <c r="H138" s="302"/>
      <c r="I138" s="178">
        <f>SUM(I111:I137)</f>
        <v>4311408.1399999997</v>
      </c>
      <c r="J138" s="178">
        <f>SUM(J111:J137)</f>
        <v>5290000</v>
      </c>
      <c r="K138" s="178">
        <f>SUM(K111:K137)</f>
        <v>9601408.1400000006</v>
      </c>
      <c r="L138" s="178">
        <f>H111-K138+L135</f>
        <v>6517640.6256433539</v>
      </c>
    </row>
    <row r="140" spans="1:12" x14ac:dyDescent="0.4">
      <c r="A140" s="295" t="s">
        <v>483</v>
      </c>
      <c r="B140" s="147"/>
      <c r="C140" s="147" t="s">
        <v>443</v>
      </c>
      <c r="D140" s="147" t="s">
        <v>113</v>
      </c>
      <c r="E140" s="147" t="s">
        <v>87</v>
      </c>
      <c r="F140" s="218" t="s">
        <v>127</v>
      </c>
      <c r="G140" s="218" t="s">
        <v>128</v>
      </c>
      <c r="H140" s="158" t="s">
        <v>280</v>
      </c>
      <c r="I140" s="148" t="s">
        <v>246</v>
      </c>
      <c r="J140" s="148" t="s">
        <v>278</v>
      </c>
      <c r="K140" s="164" t="s">
        <v>277</v>
      </c>
      <c r="L140" s="165" t="s">
        <v>247</v>
      </c>
    </row>
    <row r="141" spans="1:12" ht="14.7" customHeight="1" x14ac:dyDescent="0.4">
      <c r="A141" s="295"/>
      <c r="B141" s="95">
        <v>1</v>
      </c>
      <c r="C141">
        <v>20563</v>
      </c>
      <c r="D141" t="str">
        <f>VLOOKUP(C141,'Project Status'!C:H,6,FALSE)</f>
        <v>KECK FREE ELECTRON LASER CTR</v>
      </c>
      <c r="E141" t="str">
        <f>VLOOKUP(C141,'Project Status'!C:I,7,FALSE)</f>
        <v>Keck FEL - Roof Replacement</v>
      </c>
      <c r="F141" t="str">
        <f>VLOOKUP(C141,'Project Status'!C:K,9,FALSE)</f>
        <v>Not Started</v>
      </c>
      <c r="G141" t="str">
        <f>VLOOKUP(C141,'Project Status'!C:L,10,FALSE)</f>
        <v>Ben Bedock</v>
      </c>
      <c r="H141" s="296"/>
      <c r="K141" s="146"/>
      <c r="L141" s="169"/>
    </row>
    <row r="142" spans="1:12" ht="14.7" customHeight="1" x14ac:dyDescent="0.4">
      <c r="A142" s="295"/>
      <c r="B142" s="95">
        <f>B141+1</f>
        <v>2</v>
      </c>
      <c r="C142">
        <v>20668</v>
      </c>
      <c r="D142" t="str">
        <f>VLOOKUP(C142,'Project Status'!C:H,6,FALSE)</f>
        <v>KECK FREE ELECTRON LASER CTR</v>
      </c>
      <c r="E142" t="str">
        <f>VLOOKUP(C142,'Project Status'!C:I,7,FALSE)</f>
        <v>Keck FEL - Mechanical Upgrades</v>
      </c>
      <c r="F142" t="str">
        <f>VLOOKUP(C142,'Project Status'!C:K,9,FALSE)</f>
        <v>Design</v>
      </c>
      <c r="G142" t="str">
        <f>VLOOKUP(C142,'Project Status'!C:L,10,FALSE)</f>
        <v>Sean Rewers</v>
      </c>
      <c r="H142" s="296"/>
      <c r="J142" s="20">
        <v>3960000</v>
      </c>
      <c r="K142" s="146"/>
      <c r="L142" s="169"/>
    </row>
    <row r="143" spans="1:12" ht="14.7" customHeight="1" x14ac:dyDescent="0.4">
      <c r="A143" s="295"/>
      <c r="B143" s="95"/>
      <c r="H143" s="296"/>
      <c r="K143" s="146"/>
      <c r="L143" s="169"/>
    </row>
    <row r="144" spans="1:12" x14ac:dyDescent="0.4">
      <c r="A144" s="295"/>
      <c r="B144" s="95"/>
      <c r="H144" s="296"/>
      <c r="K144" s="146"/>
      <c r="L144" s="169"/>
    </row>
    <row r="145" spans="1:12" x14ac:dyDescent="0.4">
      <c r="A145" s="295"/>
      <c r="B145" s="95"/>
      <c r="H145" s="296"/>
      <c r="K145" s="146"/>
      <c r="L145" s="169"/>
    </row>
    <row r="146" spans="1:12" x14ac:dyDescent="0.4">
      <c r="A146" s="295"/>
      <c r="B146" s="95"/>
      <c r="H146" s="296"/>
      <c r="K146" s="146"/>
      <c r="L146" s="169"/>
    </row>
    <row r="147" spans="1:12" x14ac:dyDescent="0.4">
      <c r="A147" s="295"/>
      <c r="B147" s="95"/>
      <c r="H147" s="296"/>
      <c r="K147" s="146"/>
      <c r="L147" s="169"/>
    </row>
    <row r="148" spans="1:12" x14ac:dyDescent="0.4">
      <c r="A148" s="295"/>
      <c r="B148" s="95"/>
      <c r="C148" s="274"/>
      <c r="D148" s="274" t="s">
        <v>495</v>
      </c>
      <c r="E148" s="274" t="s">
        <v>496</v>
      </c>
      <c r="F148" s="274"/>
      <c r="H148" s="296"/>
      <c r="J148" s="273">
        <v>270000</v>
      </c>
      <c r="K148" s="146"/>
      <c r="L148" s="169"/>
    </row>
    <row r="149" spans="1:12" x14ac:dyDescent="0.4">
      <c r="A149" s="295"/>
      <c r="B149" s="95"/>
      <c r="C149" s="274">
        <v>21073</v>
      </c>
      <c r="D149" s="274" t="s">
        <v>491</v>
      </c>
      <c r="E149" s="274" t="s">
        <v>497</v>
      </c>
      <c r="F149" s="274"/>
      <c r="H149" s="296"/>
      <c r="J149" s="273">
        <v>60000</v>
      </c>
      <c r="K149" s="146"/>
      <c r="L149" s="169"/>
    </row>
    <row r="150" spans="1:12" x14ac:dyDescent="0.4">
      <c r="A150" s="295"/>
      <c r="B150" s="95"/>
      <c r="C150" s="274">
        <v>10150</v>
      </c>
      <c r="D150" s="274" t="s">
        <v>498</v>
      </c>
      <c r="E150" s="274" t="s">
        <v>499</v>
      </c>
      <c r="F150" s="274"/>
      <c r="H150" s="296"/>
      <c r="J150" s="273">
        <v>390000</v>
      </c>
      <c r="K150" s="146"/>
      <c r="L150" s="169"/>
    </row>
    <row r="151" spans="1:12" x14ac:dyDescent="0.4">
      <c r="A151" s="295"/>
      <c r="B151" s="95"/>
      <c r="C151" s="274"/>
      <c r="D151" s="274" t="s">
        <v>493</v>
      </c>
      <c r="E151" s="274" t="s">
        <v>500</v>
      </c>
      <c r="F151" s="274"/>
      <c r="H151" s="296"/>
      <c r="J151" s="273">
        <v>380000</v>
      </c>
      <c r="K151" s="146"/>
      <c r="L151" s="169"/>
    </row>
    <row r="152" spans="1:12" x14ac:dyDescent="0.4">
      <c r="A152" s="295"/>
      <c r="B152" s="95"/>
      <c r="C152" s="274">
        <v>21005</v>
      </c>
      <c r="D152" s="274" t="s">
        <v>501</v>
      </c>
      <c r="E152" s="274" t="s">
        <v>502</v>
      </c>
      <c r="F152" s="274"/>
      <c r="H152" s="296"/>
      <c r="J152" s="273">
        <v>2150000</v>
      </c>
      <c r="K152" s="146"/>
      <c r="L152" s="169"/>
    </row>
    <row r="153" spans="1:12" x14ac:dyDescent="0.4">
      <c r="A153" s="295"/>
      <c r="B153" s="95"/>
      <c r="C153" s="274"/>
      <c r="D153" s="274" t="s">
        <v>494</v>
      </c>
      <c r="E153" s="274" t="s">
        <v>503</v>
      </c>
      <c r="F153" s="274"/>
      <c r="H153" s="296"/>
      <c r="J153" s="273">
        <v>2410000</v>
      </c>
      <c r="K153" s="146"/>
      <c r="L153" s="169"/>
    </row>
    <row r="154" spans="1:12" x14ac:dyDescent="0.4">
      <c r="A154" s="295"/>
      <c r="B154" s="95"/>
      <c r="H154" s="296"/>
      <c r="J154" s="273"/>
      <c r="K154" s="146"/>
      <c r="L154" s="169"/>
    </row>
    <row r="155" spans="1:12" x14ac:dyDescent="0.4">
      <c r="A155" s="295"/>
      <c r="B155" s="95"/>
      <c r="H155" s="296"/>
      <c r="K155" s="146"/>
      <c r="L155" s="169"/>
    </row>
    <row r="156" spans="1:12" x14ac:dyDescent="0.4">
      <c r="A156" s="295"/>
      <c r="B156" s="95"/>
      <c r="H156" s="296"/>
      <c r="K156" s="146"/>
      <c r="L156" s="169"/>
    </row>
    <row r="157" spans="1:12" x14ac:dyDescent="0.4">
      <c r="H157" s="296"/>
      <c r="I157" s="149">
        <f>SUM(I141:I156)</f>
        <v>0</v>
      </c>
      <c r="J157" s="149">
        <f>SUM(J141:J156)</f>
        <v>9620000</v>
      </c>
      <c r="K157" s="149">
        <f>SUM(K141:K156)</f>
        <v>0</v>
      </c>
      <c r="L157" s="149">
        <f>H141-K157</f>
        <v>0</v>
      </c>
    </row>
    <row r="158" spans="1:12" x14ac:dyDescent="0.4">
      <c r="I158"/>
      <c r="J158"/>
    </row>
    <row r="159" spans="1:12" x14ac:dyDescent="0.4">
      <c r="A159" s="297" t="s">
        <v>484</v>
      </c>
      <c r="B159" s="150"/>
      <c r="C159" s="150" t="s">
        <v>443</v>
      </c>
      <c r="D159" s="150" t="s">
        <v>113</v>
      </c>
      <c r="E159" s="150" t="s">
        <v>87</v>
      </c>
      <c r="F159" s="219" t="s">
        <v>127</v>
      </c>
      <c r="G159" s="219" t="s">
        <v>128</v>
      </c>
      <c r="H159" s="159" t="s">
        <v>280</v>
      </c>
      <c r="I159" s="151" t="s">
        <v>246</v>
      </c>
      <c r="J159" s="151" t="s">
        <v>278</v>
      </c>
      <c r="K159" s="163" t="s">
        <v>277</v>
      </c>
      <c r="L159" s="162" t="s">
        <v>247</v>
      </c>
    </row>
    <row r="160" spans="1:12" ht="14.7" customHeight="1" x14ac:dyDescent="0.4">
      <c r="A160" s="297"/>
      <c r="B160" s="95">
        <v>1</v>
      </c>
      <c r="C160">
        <v>20560</v>
      </c>
      <c r="D160" t="str">
        <f>VLOOKUP(C160,'Project Status'!C:H,6,FALSE)</f>
        <v>LAW SCHOOL</v>
      </c>
      <c r="E160" t="str">
        <f>VLOOKUP(C160,'Project Status'!C:I,7,FALSE)</f>
        <v>Law School - Electrical Gear Replacement - FY23 FR</v>
      </c>
      <c r="F160" t="str">
        <f>VLOOKUP(C160,'Project Status'!C:K,9,FALSE)</f>
        <v>Design</v>
      </c>
      <c r="G160" t="str">
        <f>VLOOKUP(C160,'Project Status'!C:L,10,FALSE)</f>
        <v>Sean Rewers</v>
      </c>
      <c r="H160" s="298">
        <f>Contributions!G136</f>
        <v>0</v>
      </c>
      <c r="I160" s="204"/>
      <c r="J160" s="184"/>
      <c r="K160" s="154"/>
      <c r="L160" s="168"/>
    </row>
    <row r="161" spans="1:13" ht="14.7" customHeight="1" x14ac:dyDescent="0.4">
      <c r="A161" s="297"/>
      <c r="B161" s="95">
        <f>B160+1</f>
        <v>2</v>
      </c>
      <c r="C161">
        <v>21007</v>
      </c>
      <c r="D161" t="str">
        <f>VLOOKUP(C161,'Project Status'!C:H,6,FALSE)</f>
        <v>SC SCIENCE &amp; ENGINEERING</v>
      </c>
      <c r="E161" t="str">
        <f>VLOOKUP(C161,'Project Status'!C:I,7,FALSE)</f>
        <v>SC5 - HVAC Upgrade Floors 8 and 9 (Phase 4)</v>
      </c>
      <c r="F161" t="str">
        <f>VLOOKUP(C161,'Project Status'!C:K,9,FALSE)</f>
        <v>Programming or Planning</v>
      </c>
      <c r="G161" t="str">
        <f>VLOOKUP(C161,'Project Status'!C:L,10,FALSE)</f>
        <v>Jay Surprenant</v>
      </c>
      <c r="H161" s="298"/>
      <c r="I161" s="204"/>
      <c r="J161" s="184"/>
      <c r="K161" s="154"/>
      <c r="L161" s="168"/>
    </row>
    <row r="162" spans="1:13" ht="14.7" customHeight="1" x14ac:dyDescent="0.4">
      <c r="A162" s="297"/>
      <c r="B162" s="95"/>
      <c r="H162" s="298"/>
      <c r="I162" s="204"/>
      <c r="J162" s="184"/>
      <c r="K162" s="154"/>
      <c r="L162" s="168"/>
    </row>
    <row r="163" spans="1:13" s="19" customFormat="1" x14ac:dyDescent="0.4">
      <c r="A163" s="297"/>
      <c r="E163" s="214"/>
      <c r="F163" s="214"/>
      <c r="G163" s="214"/>
      <c r="H163" s="298"/>
      <c r="I163" s="204"/>
      <c r="J163" s="215"/>
      <c r="K163" s="216"/>
      <c r="L163" s="212"/>
      <c r="M163" s="223"/>
    </row>
    <row r="164" spans="1:13" s="19" customFormat="1" x14ac:dyDescent="0.4">
      <c r="A164" s="297"/>
      <c r="C164" s="275"/>
      <c r="D164" s="274" t="s">
        <v>488</v>
      </c>
      <c r="E164" s="274" t="s">
        <v>504</v>
      </c>
      <c r="F164" s="214"/>
      <c r="G164" s="214"/>
      <c r="H164" s="298"/>
      <c r="I164" s="204"/>
      <c r="J164" s="272">
        <v>80000</v>
      </c>
      <c r="K164" s="216"/>
      <c r="L164" s="212"/>
    </row>
    <row r="165" spans="1:13" s="19" customFormat="1" x14ac:dyDescent="0.4">
      <c r="A165" s="297"/>
      <c r="C165" s="275"/>
      <c r="D165" s="274" t="s">
        <v>505</v>
      </c>
      <c r="E165" s="274" t="s">
        <v>506</v>
      </c>
      <c r="F165" s="214"/>
      <c r="G165" s="214"/>
      <c r="H165" s="298"/>
      <c r="I165" s="204"/>
      <c r="J165" s="272">
        <v>260000</v>
      </c>
      <c r="K165" s="216"/>
      <c r="L165" s="212"/>
    </row>
    <row r="166" spans="1:13" s="19" customFormat="1" x14ac:dyDescent="0.4">
      <c r="A166" s="297"/>
      <c r="C166" s="274">
        <v>21072</v>
      </c>
      <c r="D166" s="274" t="s">
        <v>507</v>
      </c>
      <c r="E166" s="274" t="s">
        <v>508</v>
      </c>
      <c r="F166" s="214"/>
      <c r="G166" s="214"/>
      <c r="H166" s="298"/>
      <c r="I166" s="204"/>
      <c r="J166" s="272">
        <v>60000</v>
      </c>
      <c r="K166" s="216"/>
      <c r="L166" s="212"/>
    </row>
    <row r="167" spans="1:13" s="19" customFormat="1" x14ac:dyDescent="0.4">
      <c r="A167" s="297"/>
      <c r="C167" s="275"/>
      <c r="D167" s="274" t="s">
        <v>509</v>
      </c>
      <c r="E167" s="274" t="s">
        <v>510</v>
      </c>
      <c r="F167" s="214"/>
      <c r="G167" s="214"/>
      <c r="H167" s="298"/>
      <c r="I167" s="204"/>
      <c r="J167" s="272">
        <v>190000</v>
      </c>
      <c r="K167" s="216"/>
      <c r="L167" s="212"/>
    </row>
    <row r="168" spans="1:13" s="19" customFormat="1" x14ac:dyDescent="0.4">
      <c r="A168" s="297"/>
      <c r="C168" s="275"/>
      <c r="D168" s="274" t="s">
        <v>498</v>
      </c>
      <c r="E168" s="274" t="s">
        <v>510</v>
      </c>
      <c r="F168" s="214"/>
      <c r="G168" s="214"/>
      <c r="H168" s="298"/>
      <c r="I168" s="204"/>
      <c r="J168" s="272">
        <v>390000</v>
      </c>
      <c r="K168" s="216"/>
      <c r="L168" s="212"/>
    </row>
    <row r="169" spans="1:13" s="19" customFormat="1" x14ac:dyDescent="0.4">
      <c r="A169" s="297"/>
      <c r="C169" s="275"/>
      <c r="D169" s="274" t="s">
        <v>491</v>
      </c>
      <c r="E169" s="274" t="s">
        <v>511</v>
      </c>
      <c r="F169" s="214"/>
      <c r="G169" s="214"/>
      <c r="H169" s="298"/>
      <c r="I169" s="204"/>
      <c r="J169" s="272">
        <v>2290000</v>
      </c>
      <c r="K169" s="216"/>
      <c r="L169" s="212"/>
    </row>
    <row r="170" spans="1:13" s="19" customFormat="1" x14ac:dyDescent="0.4">
      <c r="A170" s="297"/>
      <c r="C170" s="275"/>
      <c r="D170" s="274" t="s">
        <v>498</v>
      </c>
      <c r="E170" s="274" t="s">
        <v>512</v>
      </c>
      <c r="F170" s="214"/>
      <c r="G170" s="214"/>
      <c r="H170" s="298"/>
      <c r="I170" s="204"/>
      <c r="J170" s="272">
        <v>2760000</v>
      </c>
      <c r="K170" s="216"/>
      <c r="L170" s="212"/>
    </row>
    <row r="171" spans="1:13" s="19" customFormat="1" x14ac:dyDescent="0.4">
      <c r="A171" s="297"/>
      <c r="C171" s="275"/>
      <c r="D171" s="274" t="s">
        <v>513</v>
      </c>
      <c r="E171" s="274" t="s">
        <v>514</v>
      </c>
      <c r="F171" s="214"/>
      <c r="G171" s="214"/>
      <c r="H171" s="298"/>
      <c r="I171" s="204"/>
      <c r="J171" s="272">
        <v>400000</v>
      </c>
      <c r="K171" s="216"/>
      <c r="L171" s="212"/>
    </row>
    <row r="172" spans="1:13" s="19" customFormat="1" x14ac:dyDescent="0.4">
      <c r="A172" s="297"/>
      <c r="C172" s="275"/>
      <c r="D172" s="274" t="s">
        <v>515</v>
      </c>
      <c r="E172" s="274" t="s">
        <v>516</v>
      </c>
      <c r="F172" s="214"/>
      <c r="G172" s="214"/>
      <c r="H172" s="298"/>
      <c r="I172" s="204"/>
      <c r="J172" s="272">
        <v>320000</v>
      </c>
      <c r="K172" s="216"/>
      <c r="L172" s="212"/>
    </row>
    <row r="173" spans="1:13" s="19" customFormat="1" x14ac:dyDescent="0.4">
      <c r="A173" s="297"/>
      <c r="C173" s="275"/>
      <c r="D173" s="274" t="s">
        <v>492</v>
      </c>
      <c r="E173" s="274" t="s">
        <v>517</v>
      </c>
      <c r="F173" s="214"/>
      <c r="G173" s="214"/>
      <c r="H173" s="298"/>
      <c r="I173" s="204"/>
      <c r="J173" s="272">
        <v>380000</v>
      </c>
      <c r="K173" s="216"/>
      <c r="L173" s="212"/>
    </row>
    <row r="174" spans="1:13" s="19" customFormat="1" x14ac:dyDescent="0.4">
      <c r="A174" s="297"/>
      <c r="C174" s="275"/>
      <c r="D174" s="274" t="s">
        <v>518</v>
      </c>
      <c r="E174" s="274" t="s">
        <v>519</v>
      </c>
      <c r="F174" s="214"/>
      <c r="G174" s="214"/>
      <c r="H174" s="298"/>
      <c r="I174" s="204"/>
      <c r="J174" s="272">
        <v>1720000</v>
      </c>
      <c r="K174" s="216"/>
      <c r="L174" s="212"/>
      <c r="M174" s="3"/>
    </row>
    <row r="175" spans="1:13" s="19" customFormat="1" x14ac:dyDescent="0.4">
      <c r="A175" s="297"/>
      <c r="C175" s="275"/>
      <c r="D175" s="274" t="s">
        <v>520</v>
      </c>
      <c r="E175" s="274" t="s">
        <v>521</v>
      </c>
      <c r="F175" s="214"/>
      <c r="G175" s="214"/>
      <c r="H175" s="298"/>
      <c r="I175" s="204"/>
      <c r="J175" s="272">
        <v>250000</v>
      </c>
      <c r="K175" s="216"/>
      <c r="L175" s="212"/>
    </row>
    <row r="176" spans="1:13" s="19" customFormat="1" x14ac:dyDescent="0.4">
      <c r="A176" s="297"/>
      <c r="C176" s="275"/>
      <c r="D176" s="274" t="s">
        <v>522</v>
      </c>
      <c r="E176" s="274" t="s">
        <v>523</v>
      </c>
      <c r="F176" s="214"/>
      <c r="G176" s="214"/>
      <c r="H176" s="298"/>
      <c r="I176" s="204"/>
      <c r="J176" s="272">
        <v>50000</v>
      </c>
      <c r="K176" s="216"/>
      <c r="L176" s="212"/>
    </row>
    <row r="177" spans="1:14" s="19" customFormat="1" x14ac:dyDescent="0.4">
      <c r="A177" s="297"/>
      <c r="C177" s="275"/>
      <c r="D177" s="274" t="s">
        <v>524</v>
      </c>
      <c r="E177" s="274" t="s">
        <v>510</v>
      </c>
      <c r="F177" s="214"/>
      <c r="G177" s="214"/>
      <c r="H177" s="298"/>
      <c r="I177" s="204"/>
      <c r="J177" s="272">
        <v>450000</v>
      </c>
      <c r="K177" s="216"/>
      <c r="L177" s="212"/>
    </row>
    <row r="178" spans="1:14" s="19" customFormat="1" x14ac:dyDescent="0.4">
      <c r="A178" s="297"/>
      <c r="C178" s="275"/>
      <c r="D178" s="274" t="s">
        <v>493</v>
      </c>
      <c r="E178" s="274" t="s">
        <v>525</v>
      </c>
      <c r="F178" s="214"/>
      <c r="G178" s="214"/>
      <c r="H178" s="298"/>
      <c r="I178" s="204"/>
      <c r="J178" s="272">
        <v>2150000</v>
      </c>
      <c r="K178" s="216"/>
      <c r="L178" s="212"/>
    </row>
    <row r="179" spans="1:14" s="19" customFormat="1" x14ac:dyDescent="0.4">
      <c r="A179" s="297"/>
      <c r="C179" s="274"/>
      <c r="D179" s="274"/>
      <c r="E179" s="274"/>
      <c r="F179" s="214"/>
      <c r="G179" s="214"/>
      <c r="H179" s="298"/>
      <c r="I179" s="204"/>
      <c r="J179" s="272"/>
      <c r="K179" s="216"/>
      <c r="L179" s="217"/>
    </row>
    <row r="180" spans="1:14" s="19" customFormat="1" x14ac:dyDescent="0.4">
      <c r="A180" s="297"/>
      <c r="E180" s="214"/>
      <c r="F180" s="214"/>
      <c r="G180" s="214"/>
      <c r="H180" s="298"/>
      <c r="I180" s="204"/>
      <c r="J180" s="215"/>
      <c r="K180" s="216"/>
      <c r="L180" s="217"/>
    </row>
    <row r="181" spans="1:14" s="19" customFormat="1" x14ac:dyDescent="0.4">
      <c r="A181" s="297"/>
      <c r="E181" s="214"/>
      <c r="F181" s="214"/>
      <c r="G181" s="214"/>
      <c r="H181" s="298"/>
      <c r="I181" s="204"/>
      <c r="J181" s="215"/>
      <c r="K181" s="216"/>
      <c r="L181" s="213"/>
    </row>
    <row r="182" spans="1:14" s="19" customFormat="1" x14ac:dyDescent="0.4">
      <c r="A182" s="297"/>
      <c r="E182" s="214"/>
      <c r="F182" s="214"/>
      <c r="G182" s="214"/>
      <c r="H182" s="298"/>
      <c r="I182" s="204"/>
      <c r="J182" s="215"/>
      <c r="K182" s="216"/>
      <c r="L182" s="213"/>
    </row>
    <row r="183" spans="1:14" s="19" customFormat="1" x14ac:dyDescent="0.4">
      <c r="A183" s="297"/>
      <c r="E183" s="214"/>
      <c r="F183" s="214"/>
      <c r="G183" s="214"/>
      <c r="H183" s="298"/>
      <c r="I183" s="204"/>
      <c r="J183" s="215"/>
      <c r="K183" s="216"/>
      <c r="L183" s="213"/>
    </row>
    <row r="184" spans="1:14" s="19" customFormat="1" x14ac:dyDescent="0.4">
      <c r="A184" s="297"/>
      <c r="E184" s="214"/>
      <c r="F184" s="214"/>
      <c r="G184" s="214"/>
      <c r="H184" s="298"/>
      <c r="I184" s="204"/>
      <c r="J184" s="215"/>
      <c r="K184" s="216"/>
      <c r="L184" s="217"/>
    </row>
    <row r="185" spans="1:14" x14ac:dyDescent="0.4">
      <c r="A185" s="297"/>
      <c r="C185" s="19"/>
      <c r="D185" s="19"/>
      <c r="E185" s="214"/>
      <c r="F185" s="214"/>
      <c r="G185" s="214"/>
      <c r="H185" s="298"/>
      <c r="I185" s="204"/>
      <c r="J185" s="215"/>
      <c r="K185" s="216"/>
      <c r="L185" s="168"/>
    </row>
    <row r="186" spans="1:14" x14ac:dyDescent="0.4">
      <c r="H186" s="298"/>
      <c r="I186" s="152">
        <f>SUM(I160:I185)</f>
        <v>0</v>
      </c>
      <c r="J186" s="152">
        <f>SUM(J160:J185)</f>
        <v>11750000</v>
      </c>
      <c r="K186" s="152">
        <f>SUM(K160:K185)</f>
        <v>0</v>
      </c>
      <c r="L186" s="152">
        <f>H160-K186+L184</f>
        <v>0</v>
      </c>
      <c r="M186" s="146"/>
      <c r="N186" s="146"/>
    </row>
    <row r="187" spans="1:14" x14ac:dyDescent="0.4">
      <c r="I187" s="222"/>
      <c r="J187" s="222"/>
      <c r="L187" s="146"/>
      <c r="M187" s="146"/>
      <c r="N187" s="146"/>
    </row>
    <row r="188" spans="1:14" x14ac:dyDescent="0.4">
      <c r="A188" s="299" t="s">
        <v>485</v>
      </c>
      <c r="B188" s="156"/>
      <c r="C188" s="156" t="s">
        <v>443</v>
      </c>
      <c r="D188" s="156" t="s">
        <v>113</v>
      </c>
      <c r="E188" s="156" t="s">
        <v>87</v>
      </c>
      <c r="F188" s="220" t="s">
        <v>127</v>
      </c>
      <c r="G188" s="220" t="s">
        <v>128</v>
      </c>
      <c r="H188" s="160" t="s">
        <v>280</v>
      </c>
      <c r="I188" s="157" t="s">
        <v>246</v>
      </c>
      <c r="J188" s="157" t="s">
        <v>278</v>
      </c>
      <c r="K188" s="166" t="s">
        <v>277</v>
      </c>
      <c r="L188" s="167" t="s">
        <v>247</v>
      </c>
    </row>
    <row r="189" spans="1:14" s="3" customFormat="1" ht="14.7" customHeight="1" x14ac:dyDescent="0.4">
      <c r="A189" s="299"/>
      <c r="B189" s="226"/>
      <c r="H189" s="300">
        <f>Contributions!K139</f>
        <v>0</v>
      </c>
      <c r="I189" s="204"/>
      <c r="J189" s="227"/>
      <c r="K189" s="154"/>
      <c r="L189" s="228"/>
    </row>
    <row r="190" spans="1:14" s="3" customFormat="1" ht="14.7" customHeight="1" x14ac:dyDescent="0.4">
      <c r="A190" s="299"/>
      <c r="B190" s="226"/>
      <c r="H190" s="300"/>
      <c r="I190" s="204"/>
      <c r="J190" s="227"/>
      <c r="K190" s="154"/>
      <c r="L190" s="228"/>
    </row>
    <row r="191" spans="1:14" s="3" customFormat="1" ht="14.7" customHeight="1" x14ac:dyDescent="0.4">
      <c r="A191" s="299"/>
      <c r="B191" s="226"/>
      <c r="C191" s="274"/>
      <c r="D191" s="274" t="s">
        <v>505</v>
      </c>
      <c r="E191" s="274" t="s">
        <v>526</v>
      </c>
      <c r="H191" s="300"/>
      <c r="I191" s="204"/>
      <c r="J191" s="272">
        <v>330000</v>
      </c>
      <c r="K191" s="154"/>
      <c r="L191" s="228"/>
    </row>
    <row r="192" spans="1:14" s="3" customFormat="1" ht="14.7" customHeight="1" x14ac:dyDescent="0.4">
      <c r="A192" s="299"/>
      <c r="B192" s="226"/>
      <c r="C192" s="274"/>
      <c r="D192" s="274" t="s">
        <v>507</v>
      </c>
      <c r="E192" s="274" t="s">
        <v>527</v>
      </c>
      <c r="H192" s="300"/>
      <c r="I192" s="204"/>
      <c r="J192" s="272">
        <v>3190000</v>
      </c>
      <c r="K192" s="154"/>
      <c r="L192" s="228"/>
    </row>
    <row r="193" spans="1:12" s="3" customFormat="1" ht="14.7" customHeight="1" x14ac:dyDescent="0.4">
      <c r="A193" s="299"/>
      <c r="B193" s="226"/>
      <c r="C193" s="274"/>
      <c r="D193" s="274" t="s">
        <v>507</v>
      </c>
      <c r="E193" s="274" t="s">
        <v>528</v>
      </c>
      <c r="H193" s="300"/>
      <c r="I193" s="204"/>
      <c r="J193" s="272">
        <v>70000</v>
      </c>
      <c r="K193" s="154"/>
      <c r="L193" s="228"/>
    </row>
    <row r="194" spans="1:12" s="3" customFormat="1" ht="14.7" customHeight="1" x14ac:dyDescent="0.4">
      <c r="A194" s="299"/>
      <c r="B194" s="226"/>
      <c r="C194" s="274"/>
      <c r="D194" s="274" t="s">
        <v>509</v>
      </c>
      <c r="E194" s="274" t="s">
        <v>529</v>
      </c>
      <c r="H194" s="300"/>
      <c r="I194" s="204"/>
      <c r="J194" s="272">
        <v>270000</v>
      </c>
      <c r="K194" s="154"/>
      <c r="L194" s="228"/>
    </row>
    <row r="195" spans="1:12" s="3" customFormat="1" ht="14.7" customHeight="1" x14ac:dyDescent="0.4">
      <c r="A195" s="299"/>
      <c r="B195" s="226"/>
      <c r="C195" s="274"/>
      <c r="D195" s="274" t="s">
        <v>530</v>
      </c>
      <c r="E195" s="274" t="s">
        <v>531</v>
      </c>
      <c r="H195" s="300"/>
      <c r="I195" s="204"/>
      <c r="J195" s="272">
        <v>810000</v>
      </c>
      <c r="K195" s="154"/>
      <c r="L195" s="228"/>
    </row>
    <row r="196" spans="1:12" s="3" customFormat="1" ht="14.7" customHeight="1" x14ac:dyDescent="0.4">
      <c r="A196" s="299"/>
      <c r="B196" s="226"/>
      <c r="C196" s="274"/>
      <c r="D196" s="274" t="s">
        <v>515</v>
      </c>
      <c r="E196" s="274" t="s">
        <v>521</v>
      </c>
      <c r="H196" s="300"/>
      <c r="I196" s="204"/>
      <c r="J196" s="272">
        <v>570000</v>
      </c>
      <c r="K196" s="154"/>
      <c r="L196" s="228"/>
    </row>
    <row r="197" spans="1:12" s="3" customFormat="1" ht="14.7" customHeight="1" x14ac:dyDescent="0.4">
      <c r="A197" s="299"/>
      <c r="B197" s="226"/>
      <c r="C197" s="274"/>
      <c r="D197" s="274" t="s">
        <v>492</v>
      </c>
      <c r="E197" s="274" t="s">
        <v>532</v>
      </c>
      <c r="H197" s="300"/>
      <c r="I197" s="204"/>
      <c r="J197" s="272">
        <v>280000</v>
      </c>
      <c r="K197" s="154"/>
      <c r="L197" s="228"/>
    </row>
    <row r="198" spans="1:12" s="3" customFormat="1" ht="14.7" customHeight="1" x14ac:dyDescent="0.4">
      <c r="A198" s="299"/>
      <c r="B198" s="226"/>
      <c r="C198" s="274">
        <v>21074</v>
      </c>
      <c r="D198" s="274" t="s">
        <v>492</v>
      </c>
      <c r="E198" s="274" t="s">
        <v>533</v>
      </c>
      <c r="H198" s="300"/>
      <c r="I198" s="204"/>
      <c r="J198" s="272">
        <v>60000</v>
      </c>
      <c r="K198" s="154"/>
      <c r="L198" s="228"/>
    </row>
    <row r="199" spans="1:12" s="3" customFormat="1" ht="14.7" customHeight="1" x14ac:dyDescent="0.4">
      <c r="A199" s="299"/>
      <c r="B199" s="226"/>
      <c r="C199" s="274"/>
      <c r="D199" s="274" t="s">
        <v>518</v>
      </c>
      <c r="E199" s="274" t="s">
        <v>534</v>
      </c>
      <c r="H199" s="300"/>
      <c r="I199" s="204"/>
      <c r="J199" s="272">
        <v>1720000</v>
      </c>
      <c r="K199" s="154"/>
      <c r="L199" s="228"/>
    </row>
    <row r="200" spans="1:12" s="3" customFormat="1" ht="14.7" customHeight="1" x14ac:dyDescent="0.4">
      <c r="A200" s="299"/>
      <c r="B200" s="226"/>
      <c r="C200" s="274"/>
      <c r="D200" s="274" t="s">
        <v>520</v>
      </c>
      <c r="E200" s="274" t="s">
        <v>535</v>
      </c>
      <c r="H200" s="300"/>
      <c r="I200" s="204"/>
      <c r="J200" s="272">
        <v>940000</v>
      </c>
      <c r="K200" s="154"/>
      <c r="L200" s="228"/>
    </row>
    <row r="201" spans="1:12" s="3" customFormat="1" ht="14.7" customHeight="1" x14ac:dyDescent="0.4">
      <c r="A201" s="299"/>
      <c r="B201" s="226"/>
      <c r="C201" s="274"/>
      <c r="D201" s="274" t="s">
        <v>522</v>
      </c>
      <c r="E201" s="274" t="s">
        <v>536</v>
      </c>
      <c r="H201" s="300"/>
      <c r="I201" s="204"/>
      <c r="J201" s="272">
        <v>1600000</v>
      </c>
      <c r="K201" s="154"/>
      <c r="L201" s="228"/>
    </row>
    <row r="202" spans="1:12" s="3" customFormat="1" ht="14.7" customHeight="1" x14ac:dyDescent="0.4">
      <c r="A202" s="299"/>
      <c r="B202" s="226"/>
      <c r="C202" s="274"/>
      <c r="D202" s="274" t="s">
        <v>524</v>
      </c>
      <c r="E202" s="274" t="s">
        <v>537</v>
      </c>
      <c r="H202" s="300"/>
      <c r="I202" s="204"/>
      <c r="J202" s="272">
        <v>50000</v>
      </c>
      <c r="K202" s="154"/>
      <c r="L202" s="228"/>
    </row>
    <row r="203" spans="1:12" s="3" customFormat="1" x14ac:dyDescent="0.4">
      <c r="A203" s="299"/>
      <c r="B203" s="226"/>
      <c r="C203" s="274"/>
      <c r="D203" s="274" t="s">
        <v>524</v>
      </c>
      <c r="E203" s="274" t="s">
        <v>538</v>
      </c>
      <c r="H203" s="300"/>
      <c r="I203" s="204"/>
      <c r="J203" s="272">
        <v>50000</v>
      </c>
      <c r="K203" s="154"/>
      <c r="L203" s="228"/>
    </row>
    <row r="204" spans="1:12" s="3" customFormat="1" x14ac:dyDescent="0.4">
      <c r="A204" s="299"/>
      <c r="B204" s="226"/>
      <c r="C204" s="274"/>
      <c r="D204" s="274" t="s">
        <v>524</v>
      </c>
      <c r="E204" s="274" t="s">
        <v>539</v>
      </c>
      <c r="H204" s="300"/>
      <c r="I204" s="204"/>
      <c r="J204" s="272">
        <v>1520000</v>
      </c>
      <c r="K204" s="154"/>
      <c r="L204" s="228"/>
    </row>
    <row r="205" spans="1:12" s="3" customFormat="1" x14ac:dyDescent="0.4">
      <c r="A205" s="299"/>
      <c r="B205" s="226"/>
      <c r="C205" s="274"/>
      <c r="D205" s="274" t="s">
        <v>493</v>
      </c>
      <c r="E205" s="274" t="s">
        <v>540</v>
      </c>
      <c r="H205" s="300"/>
      <c r="I205" s="204"/>
      <c r="J205" s="272">
        <v>2230000</v>
      </c>
      <c r="K205" s="154"/>
      <c r="L205" s="228"/>
    </row>
    <row r="206" spans="1:12" s="3" customFormat="1" x14ac:dyDescent="0.4">
      <c r="A206" s="299"/>
      <c r="B206" s="226"/>
      <c r="C206" s="274"/>
      <c r="D206" s="274" t="s">
        <v>501</v>
      </c>
      <c r="E206" s="274" t="s">
        <v>541</v>
      </c>
      <c r="H206" s="300"/>
      <c r="I206" s="204"/>
      <c r="J206" s="272">
        <v>2410000</v>
      </c>
      <c r="K206" s="154"/>
      <c r="L206" s="228"/>
    </row>
    <row r="207" spans="1:12" s="3" customFormat="1" x14ac:dyDescent="0.4">
      <c r="A207" s="299"/>
      <c r="B207" s="226"/>
      <c r="H207" s="300"/>
      <c r="I207" s="204"/>
      <c r="J207" s="227"/>
      <c r="K207" s="154"/>
      <c r="L207" s="228"/>
    </row>
    <row r="208" spans="1:12" s="3" customFormat="1" x14ac:dyDescent="0.4">
      <c r="A208" s="299"/>
      <c r="B208" s="226"/>
      <c r="H208" s="300"/>
      <c r="I208" s="204"/>
      <c r="J208" s="227"/>
      <c r="K208" s="154"/>
      <c r="L208" s="228"/>
    </row>
    <row r="209" spans="1:12" x14ac:dyDescent="0.4">
      <c r="A209" s="299"/>
      <c r="B209" s="226"/>
      <c r="F209" s="3"/>
      <c r="G209" s="3"/>
      <c r="H209" s="300"/>
      <c r="I209" s="204"/>
      <c r="J209" s="227"/>
      <c r="K209" s="154"/>
      <c r="L209" s="228"/>
    </row>
    <row r="210" spans="1:12" s="3" customFormat="1" x14ac:dyDescent="0.4">
      <c r="A210" s="299"/>
      <c r="B210" s="226"/>
      <c r="H210" s="300"/>
      <c r="I210" s="204"/>
      <c r="J210" s="227"/>
      <c r="K210" s="154"/>
      <c r="L210" s="228"/>
    </row>
    <row r="211" spans="1:12" s="3" customFormat="1" x14ac:dyDescent="0.4">
      <c r="A211" s="299"/>
      <c r="B211" s="226"/>
      <c r="H211" s="300"/>
      <c r="I211" s="204"/>
      <c r="J211" s="227"/>
      <c r="K211" s="154"/>
      <c r="L211" s="228"/>
    </row>
    <row r="212" spans="1:12" s="3" customFormat="1" ht="14.7" customHeight="1" x14ac:dyDescent="0.4">
      <c r="A212" s="299"/>
      <c r="B212" s="226"/>
      <c r="H212" s="300"/>
      <c r="I212" s="204"/>
      <c r="J212" s="227"/>
      <c r="K212" s="154"/>
      <c r="L212" s="228"/>
    </row>
    <row r="213" spans="1:12" s="3" customFormat="1" ht="14.7" customHeight="1" x14ac:dyDescent="0.4">
      <c r="A213" s="299"/>
      <c r="B213" s="226"/>
      <c r="H213" s="300"/>
      <c r="I213" s="204"/>
      <c r="J213" s="268"/>
      <c r="K213" s="154"/>
      <c r="L213" s="257"/>
    </row>
    <row r="214" spans="1:12" s="3" customFormat="1" ht="14.7" customHeight="1" x14ac:dyDescent="0.4">
      <c r="A214" s="299"/>
      <c r="B214" s="226"/>
      <c r="H214" s="300"/>
      <c r="I214" s="204"/>
      <c r="J214" s="227"/>
      <c r="K214" s="154"/>
      <c r="L214" s="257"/>
    </row>
    <row r="215" spans="1:12" x14ac:dyDescent="0.4">
      <c r="D215" s="146"/>
      <c r="G215" s="263"/>
      <c r="H215" s="300"/>
      <c r="I215" s="155">
        <f>SUM(I189:I214)</f>
        <v>0</v>
      </c>
      <c r="J215" s="155">
        <f>SUM(J189:J214)</f>
        <v>16100000</v>
      </c>
      <c r="K215" s="155">
        <f>SUM(K189:K214)</f>
        <v>0</v>
      </c>
      <c r="L215" s="155" t="e">
        <f>H189-K215+#REF!</f>
        <v>#REF!</v>
      </c>
    </row>
    <row r="216" spans="1:12" x14ac:dyDescent="0.4">
      <c r="D216" s="146"/>
      <c r="I216" s="264"/>
    </row>
    <row r="217" spans="1:12" x14ac:dyDescent="0.4">
      <c r="A217" s="301" t="s">
        <v>486</v>
      </c>
      <c r="B217" s="181"/>
      <c r="C217" s="181" t="s">
        <v>443</v>
      </c>
      <c r="D217" s="181" t="s">
        <v>113</v>
      </c>
      <c r="E217" s="181" t="s">
        <v>87</v>
      </c>
      <c r="F217" s="221" t="s">
        <v>127</v>
      </c>
      <c r="G217" s="221" t="s">
        <v>128</v>
      </c>
      <c r="H217" s="179" t="s">
        <v>280</v>
      </c>
      <c r="I217" s="182" t="s">
        <v>246</v>
      </c>
      <c r="J217" s="182" t="s">
        <v>278</v>
      </c>
      <c r="K217" s="183" t="s">
        <v>277</v>
      </c>
      <c r="L217" s="180" t="s">
        <v>247</v>
      </c>
    </row>
    <row r="218" spans="1:12" ht="14.7" customHeight="1" x14ac:dyDescent="0.4">
      <c r="A218" s="301"/>
      <c r="B218" s="95"/>
      <c r="H218" s="302">
        <f>Contributions!O136</f>
        <v>0</v>
      </c>
      <c r="J218" s="153"/>
      <c r="K218" s="154"/>
      <c r="L218" s="52"/>
    </row>
    <row r="219" spans="1:12" x14ac:dyDescent="0.4">
      <c r="A219" s="301"/>
      <c r="B219" s="95"/>
      <c r="C219" s="3"/>
      <c r="H219" s="302"/>
      <c r="J219" s="153"/>
      <c r="K219" s="154"/>
      <c r="L219" s="52"/>
    </row>
    <row r="220" spans="1:12" x14ac:dyDescent="0.4">
      <c r="A220" s="301"/>
      <c r="B220" s="95"/>
      <c r="D220" s="274" t="s">
        <v>542</v>
      </c>
      <c r="E220" s="274" t="s">
        <v>543</v>
      </c>
      <c r="H220" s="302"/>
      <c r="J220" s="272">
        <v>370000</v>
      </c>
      <c r="K220" s="154"/>
      <c r="L220" s="52"/>
    </row>
    <row r="221" spans="1:12" x14ac:dyDescent="0.4">
      <c r="A221" s="301"/>
      <c r="B221" s="95"/>
      <c r="C221" s="3"/>
      <c r="D221" s="274" t="s">
        <v>489</v>
      </c>
      <c r="E221" s="274" t="s">
        <v>544</v>
      </c>
      <c r="H221" s="302"/>
      <c r="J221" s="272">
        <v>800000</v>
      </c>
      <c r="K221" s="154"/>
      <c r="L221" s="52"/>
    </row>
    <row r="222" spans="1:12" x14ac:dyDescent="0.4">
      <c r="A222" s="301"/>
      <c r="B222" s="95"/>
      <c r="D222" s="274" t="s">
        <v>488</v>
      </c>
      <c r="E222" s="274" t="s">
        <v>545</v>
      </c>
      <c r="H222" s="302"/>
      <c r="J222" s="272">
        <v>410000</v>
      </c>
      <c r="K222" s="154"/>
      <c r="L222" s="52"/>
    </row>
    <row r="223" spans="1:12" x14ac:dyDescent="0.4">
      <c r="A223" s="301"/>
      <c r="B223" s="95"/>
      <c r="D223" s="274" t="s">
        <v>505</v>
      </c>
      <c r="E223" s="274" t="s">
        <v>546</v>
      </c>
      <c r="H223" s="302"/>
      <c r="J223" s="272">
        <v>440000</v>
      </c>
      <c r="K223" s="154"/>
      <c r="L223" s="52"/>
    </row>
    <row r="224" spans="1:12" x14ac:dyDescent="0.4">
      <c r="A224" s="301"/>
      <c r="B224" s="95"/>
      <c r="D224" s="274" t="s">
        <v>505</v>
      </c>
      <c r="E224" s="274" t="s">
        <v>547</v>
      </c>
      <c r="H224" s="302"/>
      <c r="J224" s="272">
        <v>180000</v>
      </c>
      <c r="K224" s="154"/>
      <c r="L224" s="52"/>
    </row>
    <row r="225" spans="1:12" x14ac:dyDescent="0.4">
      <c r="A225" s="301"/>
      <c r="B225" s="95"/>
      <c r="D225" s="274" t="s">
        <v>505</v>
      </c>
      <c r="E225" s="274" t="s">
        <v>548</v>
      </c>
      <c r="H225" s="302"/>
      <c r="J225" s="272">
        <v>240000</v>
      </c>
      <c r="K225" s="154"/>
      <c r="L225" s="52"/>
    </row>
    <row r="226" spans="1:12" x14ac:dyDescent="0.4">
      <c r="A226" s="301"/>
      <c r="D226" s="274" t="s">
        <v>498</v>
      </c>
      <c r="E226" s="274" t="s">
        <v>549</v>
      </c>
      <c r="H226" s="302"/>
      <c r="J226" s="273">
        <v>1990000</v>
      </c>
      <c r="K226" s="146"/>
      <c r="L226" s="52"/>
    </row>
    <row r="227" spans="1:12" x14ac:dyDescent="0.4">
      <c r="A227" s="301"/>
      <c r="D227" s="274" t="s">
        <v>515</v>
      </c>
      <c r="E227" s="274" t="s">
        <v>550</v>
      </c>
      <c r="H227" s="302"/>
      <c r="J227" s="273">
        <v>280000</v>
      </c>
      <c r="K227" s="146"/>
      <c r="L227" s="52"/>
    </row>
    <row r="228" spans="1:12" x14ac:dyDescent="0.4">
      <c r="A228" s="301"/>
      <c r="D228" s="274" t="s">
        <v>518</v>
      </c>
      <c r="E228" s="274" t="s">
        <v>551</v>
      </c>
      <c r="H228" s="302"/>
      <c r="J228" s="273">
        <v>1720000</v>
      </c>
      <c r="K228" s="146"/>
      <c r="L228" s="52"/>
    </row>
    <row r="229" spans="1:12" x14ac:dyDescent="0.4">
      <c r="A229" s="301"/>
      <c r="D229" s="274" t="s">
        <v>520</v>
      </c>
      <c r="E229" s="274" t="s">
        <v>552</v>
      </c>
      <c r="H229" s="302"/>
      <c r="J229" s="273">
        <v>2000000</v>
      </c>
      <c r="K229" s="146"/>
      <c r="L229" s="52"/>
    </row>
    <row r="230" spans="1:12" x14ac:dyDescent="0.4">
      <c r="A230" s="301"/>
      <c r="D230" s="274" t="s">
        <v>522</v>
      </c>
      <c r="E230" s="274" t="s">
        <v>553</v>
      </c>
      <c r="H230" s="302"/>
      <c r="J230" s="273">
        <v>1600000</v>
      </c>
      <c r="K230" s="146"/>
      <c r="L230" s="52"/>
    </row>
    <row r="231" spans="1:12" x14ac:dyDescent="0.4">
      <c r="A231" s="301"/>
      <c r="D231" s="274" t="s">
        <v>554</v>
      </c>
      <c r="E231" s="274" t="s">
        <v>555</v>
      </c>
      <c r="H231" s="302"/>
      <c r="J231" s="273">
        <v>2120000</v>
      </c>
      <c r="K231" s="146"/>
      <c r="L231" s="52"/>
    </row>
    <row r="232" spans="1:12" x14ac:dyDescent="0.4">
      <c r="A232" s="301"/>
      <c r="H232" s="302"/>
      <c r="K232" s="146"/>
      <c r="L232" s="52"/>
    </row>
    <row r="233" spans="1:12" x14ac:dyDescent="0.4">
      <c r="A233" s="301"/>
      <c r="H233" s="302"/>
      <c r="K233" s="146"/>
      <c r="L233" s="52"/>
    </row>
    <row r="234" spans="1:12" x14ac:dyDescent="0.4">
      <c r="A234" s="301"/>
      <c r="H234" s="302"/>
      <c r="K234" s="146"/>
      <c r="L234" s="52"/>
    </row>
    <row r="235" spans="1:12" x14ac:dyDescent="0.4">
      <c r="A235" s="301"/>
      <c r="H235" s="302"/>
      <c r="K235" s="146"/>
      <c r="L235" s="52"/>
    </row>
    <row r="236" spans="1:12" x14ac:dyDescent="0.4">
      <c r="A236" s="301"/>
      <c r="H236" s="302"/>
      <c r="K236" s="146"/>
      <c r="L236" s="52"/>
    </row>
    <row r="237" spans="1:12" x14ac:dyDescent="0.4">
      <c r="H237" s="302"/>
      <c r="I237" s="178">
        <f>SUM(I218:I236)</f>
        <v>0</v>
      </c>
      <c r="J237" s="178">
        <f>SUM(J218:J236)</f>
        <v>12150000</v>
      </c>
      <c r="K237" s="178">
        <f>SUM(K218:K236)</f>
        <v>0</v>
      </c>
      <c r="L237" s="178">
        <f>H218-K237</f>
        <v>0</v>
      </c>
    </row>
    <row r="238" spans="1:12" x14ac:dyDescent="0.4">
      <c r="I238"/>
      <c r="J238"/>
    </row>
    <row r="239" spans="1:12" x14ac:dyDescent="0.4">
      <c r="A239" s="295" t="s">
        <v>487</v>
      </c>
      <c r="B239" s="147"/>
      <c r="C239" s="147" t="s">
        <v>443</v>
      </c>
      <c r="D239" s="147" t="s">
        <v>113</v>
      </c>
      <c r="E239" s="147" t="s">
        <v>87</v>
      </c>
      <c r="F239" s="218" t="s">
        <v>127</v>
      </c>
      <c r="G239" s="218" t="s">
        <v>128</v>
      </c>
      <c r="H239" s="158" t="s">
        <v>280</v>
      </c>
      <c r="I239" s="148" t="s">
        <v>246</v>
      </c>
      <c r="J239" s="148" t="s">
        <v>278</v>
      </c>
      <c r="K239" s="164" t="s">
        <v>277</v>
      </c>
      <c r="L239" s="165" t="s">
        <v>247</v>
      </c>
    </row>
    <row r="240" spans="1:12" ht="14.7" customHeight="1" x14ac:dyDescent="0.4">
      <c r="A240" s="295"/>
      <c r="B240" s="95"/>
      <c r="H240" s="296"/>
      <c r="K240" s="146"/>
      <c r="L240" s="169"/>
    </row>
    <row r="241" spans="1:12" ht="14.7" customHeight="1" x14ac:dyDescent="0.4">
      <c r="A241" s="295"/>
      <c r="B241" s="95"/>
      <c r="H241" s="296"/>
      <c r="K241" s="146"/>
      <c r="L241" s="169"/>
    </row>
    <row r="242" spans="1:12" x14ac:dyDescent="0.4">
      <c r="A242" s="295"/>
      <c r="B242" s="95"/>
      <c r="C242" s="274"/>
      <c r="D242" s="274" t="s">
        <v>489</v>
      </c>
      <c r="E242" s="274" t="s">
        <v>556</v>
      </c>
      <c r="H242" s="296"/>
      <c r="J242" s="273">
        <v>870000</v>
      </c>
      <c r="K242" s="146"/>
      <c r="L242" s="169"/>
    </row>
    <row r="243" spans="1:12" x14ac:dyDescent="0.4">
      <c r="A243" s="295"/>
      <c r="B243" s="95"/>
      <c r="C243" s="274"/>
      <c r="D243" s="274" t="s">
        <v>490</v>
      </c>
      <c r="E243" s="274" t="s">
        <v>557</v>
      </c>
      <c r="H243" s="296"/>
      <c r="J243" s="273">
        <v>1510000</v>
      </c>
      <c r="K243" s="146"/>
      <c r="L243" s="169"/>
    </row>
    <row r="244" spans="1:12" x14ac:dyDescent="0.4">
      <c r="A244" s="295"/>
      <c r="B244" s="95"/>
      <c r="C244" s="274"/>
      <c r="D244" s="274" t="s">
        <v>558</v>
      </c>
      <c r="E244" s="274" t="s">
        <v>559</v>
      </c>
      <c r="H244" s="296"/>
      <c r="J244" s="273">
        <v>950000</v>
      </c>
      <c r="K244" s="146"/>
      <c r="L244" s="169"/>
    </row>
    <row r="245" spans="1:12" x14ac:dyDescent="0.4">
      <c r="A245" s="295"/>
      <c r="B245" s="95"/>
      <c r="C245" s="274"/>
      <c r="D245" s="274" t="s">
        <v>558</v>
      </c>
      <c r="E245" s="274" t="s">
        <v>560</v>
      </c>
      <c r="H245" s="296"/>
      <c r="J245" s="273">
        <v>870000</v>
      </c>
      <c r="K245" s="146"/>
      <c r="L245" s="169"/>
    </row>
    <row r="246" spans="1:12" x14ac:dyDescent="0.4">
      <c r="A246" s="295"/>
      <c r="B246" s="95"/>
      <c r="C246" s="274"/>
      <c r="D246" s="274" t="s">
        <v>561</v>
      </c>
      <c r="E246" s="274" t="s">
        <v>562</v>
      </c>
      <c r="H246" s="296"/>
      <c r="J246" s="273">
        <v>500000</v>
      </c>
      <c r="K246" s="146"/>
      <c r="L246" s="169"/>
    </row>
    <row r="247" spans="1:12" x14ac:dyDescent="0.4">
      <c r="A247" s="295"/>
      <c r="B247" s="95"/>
      <c r="C247" s="274"/>
      <c r="D247" s="274" t="s">
        <v>498</v>
      </c>
      <c r="E247" s="274" t="s">
        <v>563</v>
      </c>
      <c r="H247" s="296"/>
      <c r="J247" s="273">
        <v>280000</v>
      </c>
      <c r="K247" s="146"/>
      <c r="L247" s="169"/>
    </row>
    <row r="248" spans="1:12" x14ac:dyDescent="0.4">
      <c r="A248" s="295"/>
      <c r="B248" s="95"/>
      <c r="C248" s="274"/>
      <c r="D248" s="274" t="s">
        <v>492</v>
      </c>
      <c r="E248" s="274" t="s">
        <v>564</v>
      </c>
      <c r="H248" s="296"/>
      <c r="J248" s="273">
        <v>70000</v>
      </c>
      <c r="K248" s="146"/>
      <c r="L248" s="169"/>
    </row>
    <row r="249" spans="1:12" x14ac:dyDescent="0.4">
      <c r="A249" s="295"/>
      <c r="B249" s="95"/>
      <c r="C249" s="274"/>
      <c r="D249" s="274" t="s">
        <v>492</v>
      </c>
      <c r="E249" s="274" t="s">
        <v>565</v>
      </c>
      <c r="H249" s="296"/>
      <c r="J249" s="273">
        <v>970000</v>
      </c>
      <c r="K249" s="146"/>
      <c r="L249" s="169"/>
    </row>
    <row r="250" spans="1:12" x14ac:dyDescent="0.4">
      <c r="A250" s="295"/>
      <c r="B250" s="95"/>
      <c r="C250" s="274"/>
      <c r="D250" s="274" t="s">
        <v>518</v>
      </c>
      <c r="E250" s="274" t="s">
        <v>566</v>
      </c>
      <c r="H250" s="296"/>
      <c r="J250" s="273">
        <v>1680000</v>
      </c>
      <c r="K250" s="146"/>
      <c r="L250" s="169"/>
    </row>
    <row r="251" spans="1:12" x14ac:dyDescent="0.4">
      <c r="A251" s="295"/>
      <c r="B251" s="95"/>
      <c r="C251" s="274"/>
      <c r="D251" s="274" t="s">
        <v>522</v>
      </c>
      <c r="E251" s="274" t="s">
        <v>567</v>
      </c>
      <c r="H251" s="296"/>
      <c r="J251" s="273">
        <v>1600000</v>
      </c>
      <c r="K251" s="146"/>
      <c r="L251" s="169"/>
    </row>
    <row r="252" spans="1:12" x14ac:dyDescent="0.4">
      <c r="A252" s="295"/>
      <c r="B252" s="95"/>
      <c r="C252" s="274"/>
      <c r="D252" s="274" t="s">
        <v>494</v>
      </c>
      <c r="E252" s="274" t="s">
        <v>568</v>
      </c>
      <c r="H252" s="296"/>
      <c r="J252" s="273">
        <v>3820000</v>
      </c>
      <c r="K252" s="146"/>
      <c r="L252" s="169"/>
    </row>
    <row r="253" spans="1:12" x14ac:dyDescent="0.4">
      <c r="A253" s="295"/>
      <c r="B253" s="95"/>
      <c r="H253" s="296"/>
      <c r="K253" s="146"/>
      <c r="L253" s="169"/>
    </row>
    <row r="254" spans="1:12" x14ac:dyDescent="0.4">
      <c r="A254" s="295"/>
      <c r="B254" s="95"/>
      <c r="H254" s="296"/>
      <c r="K254" s="146"/>
      <c r="L254" s="169"/>
    </row>
    <row r="255" spans="1:12" x14ac:dyDescent="0.4">
      <c r="H255" s="296"/>
      <c r="I255" s="149">
        <f>SUM(I240:I254)</f>
        <v>0</v>
      </c>
      <c r="J255" s="149">
        <f>SUM(J240:J254)</f>
        <v>13120000</v>
      </c>
      <c r="K255" s="149">
        <f>SUM(K240:K254)</f>
        <v>0</v>
      </c>
      <c r="L255" s="149">
        <f>H240-K255</f>
        <v>0</v>
      </c>
    </row>
    <row r="256" spans="1:12" x14ac:dyDescent="0.4">
      <c r="I256"/>
      <c r="J256"/>
    </row>
  </sheetData>
  <sortState xmlns:xlrd2="http://schemas.microsoft.com/office/spreadsheetml/2017/richdata2" ref="C112:C117">
    <sortCondition ref="C111:C117"/>
  </sortState>
  <mergeCells count="18">
    <mergeCell ref="A140:A156"/>
    <mergeCell ref="H141:H157"/>
    <mergeCell ref="H111:H138"/>
    <mergeCell ref="A110:A137"/>
    <mergeCell ref="H3:H32"/>
    <mergeCell ref="A2:A31"/>
    <mergeCell ref="A34:A74"/>
    <mergeCell ref="A77:A107"/>
    <mergeCell ref="H35:H75"/>
    <mergeCell ref="H78:H108"/>
    <mergeCell ref="A239:A254"/>
    <mergeCell ref="H240:H255"/>
    <mergeCell ref="A159:A185"/>
    <mergeCell ref="H160:H186"/>
    <mergeCell ref="A188:A214"/>
    <mergeCell ref="H189:H215"/>
    <mergeCell ref="A217:A236"/>
    <mergeCell ref="H218:H237"/>
  </mergeCells>
  <pageMargins left="0.7" right="0.7" top="0.75" bottom="0.75" header="0.3" footer="0.3"/>
  <pageSetup orientation="portrait" r:id="rId1"/>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046875" bestFit="1" customWidth="1"/>
    <col min="2" max="2" width="18.3046875" bestFit="1" customWidth="1"/>
    <col min="3" max="3" width="32.69140625" bestFit="1" customWidth="1"/>
    <col min="4" max="4" width="10.53515625" bestFit="1" customWidth="1"/>
    <col min="5" max="5" width="14.304687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04687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Status'!C:K,8,FALSE)</f>
        <v>Complete</v>
      </c>
      <c r="G4" s="11" t="str">
        <f>VLOOKUP(A4,'Project Status'!C:L,9,FALSE)</f>
        <v>Finalized</v>
      </c>
      <c r="H4" s="88">
        <f>VLOOKUP(A4,'Project Status'!C:N,11,FALSE)</f>
        <v>17500</v>
      </c>
      <c r="I4" s="172">
        <f>VLOOKUP(A4,'Project Status'!C:O,13,FALSE)</f>
        <v>17500</v>
      </c>
    </row>
    <row r="8" spans="1:11" x14ac:dyDescent="0.4">
      <c r="E8" s="40" t="s">
        <v>123</v>
      </c>
    </row>
    <row r="9" spans="1:11" x14ac:dyDescent="0.4">
      <c r="E9" s="21" t="s">
        <v>212</v>
      </c>
      <c r="F9" s="32" t="s">
        <v>145</v>
      </c>
      <c r="H9" s="41">
        <v>22000</v>
      </c>
      <c r="I9" s="41"/>
    </row>
    <row r="10" spans="1:11" x14ac:dyDescent="0.4">
      <c r="E10" s="21" t="s">
        <v>295</v>
      </c>
      <c r="F10" t="s">
        <v>296</v>
      </c>
      <c r="H10" s="42">
        <v>-4500</v>
      </c>
      <c r="I10" s="42"/>
    </row>
    <row r="18" spans="5:8" x14ac:dyDescent="0.4">
      <c r="E18" s="135" t="s">
        <v>260</v>
      </c>
      <c r="F18" s="136"/>
      <c r="G18" s="135"/>
      <c r="H18" s="137">
        <f>SUM(H9:H17)</f>
        <v>17500</v>
      </c>
    </row>
    <row r="20" spans="5:8" x14ac:dyDescent="0.4">
      <c r="E20" s="138" t="s">
        <v>135</v>
      </c>
      <c r="F20" s="138"/>
      <c r="G20" s="138"/>
      <c r="H20" s="139">
        <f>I4-H18</f>
        <v>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4</vt:i4>
      </vt:variant>
    </vt:vector>
  </HeadingPairs>
  <TitlesOfParts>
    <vt:vector size="85"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20925</vt:lpstr>
      <vt:lpstr>20936</vt:lpstr>
      <vt:lpstr>20940</vt:lpstr>
      <vt:lpstr>20945</vt:lpstr>
      <vt:lpstr>20958</vt:lpstr>
      <vt:lpstr>20962</vt:lpstr>
      <vt:lpstr>20979</vt:lpstr>
      <vt:lpstr>20982</vt:lpstr>
      <vt:lpstr>20984</vt:lpstr>
      <vt:lpstr>21004</vt:lpstr>
      <vt:lpstr>21010</vt:lpstr>
      <vt:lpstr>21035</vt:lpstr>
      <vt:lpstr>21066</vt:lpstr>
      <vt:lpstr>21067</vt:lpstr>
      <vt:lpstr>21068</vt:lpstr>
      <vt:lpstr>21070</vt:lpstr>
      <vt:lpstr>21071</vt:lpstr>
      <vt:lpstr>21094</vt:lpstr>
      <vt:lpstr>21108</vt:lpstr>
      <vt:lpstr>21113</vt:lpstr>
      <vt:lpstr>21114</vt:lpstr>
      <vt:lpstr>21127</vt:lpstr>
      <vt:lpstr>JE LOG_FY23</vt:lpstr>
      <vt:lpstr>JE LOG_FY24</vt:lpstr>
      <vt:lpstr>JE LOG_FY25</vt:lpstr>
      <vt:lpstr>JE LOG_FY26</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2025-09-11T17:56:40Z</cp:lastPrinted>
  <dcterms:created xsi:type="dcterms:W3CDTF">2021-08-31T18:33:23Z</dcterms:created>
  <dcterms:modified xsi:type="dcterms:W3CDTF">2025-09-11T17:57:32Z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