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hidePivotFieldList="1"/>
  <mc:AlternateContent xmlns:mc="http://schemas.openxmlformats.org/markup-compatibility/2006">
    <mc:Choice Requires="x15">
      <x15ac:absPath xmlns:x15ac="http://schemas.microsoft.com/office/spreadsheetml/2010/11/ac" url="Y:\FandA\8-Facility_Renewal\Reporting\Reports\FY26\"/>
    </mc:Choice>
  </mc:AlternateContent>
  <xr:revisionPtr revIDLastSave="0" documentId="8_{5052ED4C-4920-4B34-8C00-5051CFAABD5B}" xr6:coauthVersionLast="47" xr6:coauthVersionMax="47" xr10:uidLastSave="{00000000-0000-0000-0000-000000000000}"/>
  <bookViews>
    <workbookView xWindow="28680" yWindow="-120" windowWidth="24240" windowHeight="13020" tabRatio="762" activeTab="1" xr2:uid="{382D63A7-A064-43C4-BB7D-7DDF2E98A281}"/>
  </bookViews>
  <sheets>
    <sheet name="Guidance" sheetId="47" r:id="rId1"/>
    <sheet name="Summary_for Web-1" sheetId="18" r:id="rId2"/>
    <sheet name="Summary_for Web-2" sheetId="17" r:id="rId3"/>
    <sheet name="Contributions" sheetId="7" r:id="rId4"/>
    <sheet name="Shared Building Allocation" sheetId="8" r:id="rId5"/>
    <sheet name="Summary_by School" sheetId="9" r:id="rId6"/>
    <sheet name="Project Status" sheetId="3" r:id="rId7"/>
    <sheet name="Summary_by FY" sheetId="41" r:id="rId8"/>
    <sheet name="10085" sheetId="24" state="hidden" r:id="rId9"/>
    <sheet name="10098" sheetId="10" state="hidden" r:id="rId10"/>
    <sheet name="10146" sheetId="29" state="hidden" r:id="rId11"/>
    <sheet name="20179" sheetId="12" state="hidden" r:id="rId12"/>
    <sheet name="20336" sheetId="15" state="hidden" r:id="rId13"/>
    <sheet name="20431" sheetId="20" r:id="rId14"/>
    <sheet name="20478" sheetId="34" r:id="rId15"/>
    <sheet name="20489" sheetId="35" r:id="rId16"/>
    <sheet name="20497" sheetId="13" state="hidden" r:id="rId17"/>
    <sheet name="20506" sheetId="38" state="hidden" r:id="rId18"/>
    <sheet name="20562" sheetId="32" state="hidden" r:id="rId19"/>
    <sheet name="20566" sheetId="14" state="hidden" r:id="rId20"/>
    <sheet name="20573" sheetId="36" state="hidden" r:id="rId21"/>
    <sheet name="20574" sheetId="21" state="hidden" r:id="rId22"/>
    <sheet name="20577" sheetId="16" r:id="rId23"/>
    <sheet name="20644" sheetId="31" state="hidden" r:id="rId24"/>
    <sheet name="20645" sheetId="46" state="hidden" r:id="rId25"/>
    <sheet name="20667" sheetId="19" r:id="rId26"/>
    <sheet name="20668" sheetId="22" r:id="rId27"/>
    <sheet name="20698" sheetId="27" state="hidden" r:id="rId28"/>
    <sheet name="20700" sheetId="30" state="hidden" r:id="rId29"/>
    <sheet name="20701" sheetId="39" r:id="rId30"/>
    <sheet name="20702" sheetId="26" state="hidden" r:id="rId31"/>
    <sheet name="20718" sheetId="44" state="hidden" r:id="rId32"/>
    <sheet name="20723" sheetId="37" r:id="rId33"/>
    <sheet name="20724" sheetId="33" r:id="rId34"/>
    <sheet name="20735" sheetId="42" state="hidden" r:id="rId35"/>
    <sheet name="20767" sheetId="60" r:id="rId36"/>
    <sheet name="20771" sheetId="40" state="hidden" r:id="rId37"/>
    <sheet name="20792" sheetId="45" state="hidden" r:id="rId38"/>
    <sheet name="20831" sheetId="51" state="hidden" r:id="rId39"/>
    <sheet name="20832" sheetId="50" state="hidden" r:id="rId40"/>
    <sheet name="20833" sheetId="52" state="hidden" r:id="rId41"/>
    <sheet name="20772" sheetId="66" state="hidden" r:id="rId42"/>
    <sheet name="20811" sheetId="63" r:id="rId43"/>
    <sheet name="20812" sheetId="70" r:id="rId44"/>
    <sheet name="20857" sheetId="53" r:id="rId45"/>
    <sheet name="20884" sheetId="64" state="hidden" r:id="rId46"/>
    <sheet name="20885" sheetId="58" r:id="rId47"/>
    <sheet name="20911" sheetId="56" state="hidden" r:id="rId48"/>
    <sheet name="20912" sheetId="55" r:id="rId49"/>
    <sheet name="20913" sheetId="57" r:id="rId50"/>
    <sheet name="20922" sheetId="67" r:id="rId51"/>
    <sheet name="20924" sheetId="62" state="hidden" r:id="rId52"/>
    <sheet name="20925" sheetId="86" r:id="rId53"/>
    <sheet name="20936" sheetId="61" r:id="rId54"/>
    <sheet name="20940" sheetId="74" r:id="rId55"/>
    <sheet name="20945" sheetId="59" r:id="rId56"/>
    <sheet name="20958" sheetId="65" r:id="rId57"/>
    <sheet name="20962" sheetId="75" r:id="rId58"/>
    <sheet name="20979" sheetId="87" r:id="rId59"/>
    <sheet name="20982" sheetId="68" r:id="rId60"/>
    <sheet name="20984" sheetId="72" r:id="rId61"/>
    <sheet name="21004" sheetId="73" r:id="rId62"/>
    <sheet name="21010" sheetId="79" r:id="rId63"/>
    <sheet name="21035" sheetId="85" r:id="rId64"/>
    <sheet name="21051" sheetId="96" r:id="rId65"/>
    <sheet name="21066" sheetId="82" r:id="rId66"/>
    <sheet name="21067" sheetId="77" r:id="rId67"/>
    <sheet name="21068" sheetId="78" r:id="rId68"/>
    <sheet name="21070" sheetId="83" r:id="rId69"/>
    <sheet name="21071" sheetId="81" r:id="rId70"/>
    <sheet name="21094" sheetId="80" r:id="rId71"/>
    <sheet name="21108" sheetId="76" state="hidden" r:id="rId72"/>
    <sheet name="21113" sheetId="88" r:id="rId73"/>
    <sheet name="21114" sheetId="84" r:id="rId74"/>
    <sheet name="21127" sheetId="90" r:id="rId75"/>
    <sheet name="21156" sheetId="94" r:id="rId76"/>
    <sheet name="21173" sheetId="95" r:id="rId77"/>
    <sheet name="21178" sheetId="93" r:id="rId78"/>
    <sheet name="JE LOG_FY26" sheetId="89" r:id="rId79"/>
    <sheet name="JE LOG_FY25" sheetId="69" r:id="rId80"/>
    <sheet name="JE LOG_FY24" sheetId="48" r:id="rId81"/>
    <sheet name="JE LOG_FY23" sheetId="11" r:id="rId82"/>
    <sheet name="lookup" sheetId="25" r:id="rId83"/>
    <sheet name="PUC GSF" sheetId="1" state="hidden" r:id="rId84"/>
    <sheet name="Notes" sheetId="6" state="hidden" r:id="rId85"/>
  </sheets>
  <definedNames>
    <definedName name="_xlnm._FilterDatabase" localSheetId="6" hidden="1">'Project Status'!$A$3:$Q$91</definedName>
    <definedName name="JE">'10098'!$E$9:$H$12</definedName>
    <definedName name="list" localSheetId="80">'JE LOG_FY24'!$T:$T</definedName>
    <definedName name="list" localSheetId="79">'JE LOG_FY25'!#REF!</definedName>
    <definedName name="list" localSheetId="78">'JE LOG_FY26'!#REF!</definedName>
    <definedName name="list">'JE LOG_FY23'!$T:$T</definedName>
    <definedName name="_xlnm.Print_Area" localSheetId="4">'Shared Building Allocation'!$A$1:$G$8</definedName>
    <definedName name="Slicer_Building">#N/A</definedName>
    <definedName name="Slicer_Capex___opex">#N/A</definedName>
    <definedName name="Slicer_Lookup">#N/A</definedName>
    <definedName name="Slicer_Phase">#N/A</definedName>
  </definedNames>
  <calcPr calcId="191029"/>
  <pivotCaches>
    <pivotCache cacheId="7" r:id="rId86"/>
  </pivotCaches>
  <extLst>
    <ext xmlns:x14="http://schemas.microsoft.com/office/spreadsheetml/2009/9/main" uri="{BBE1A952-AA13-448e-AADC-164F8A28A991}">
      <x14:slicerCaches>
        <x14:slicerCache r:id="rId87"/>
        <x14:slicerCache r:id="rId88"/>
        <x14:slicerCache r:id="rId89"/>
        <x14:slicerCache r:id="rId9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63" i="3" l="1"/>
  <c r="V56" i="3"/>
  <c r="V53" i="3"/>
  <c r="V44" i="3"/>
  <c r="V37" i="3"/>
  <c r="V31" i="3"/>
  <c r="V27" i="3"/>
  <c r="O18" i="7"/>
  <c r="O15" i="7"/>
  <c r="S20" i="7"/>
  <c r="S19" i="7"/>
  <c r="S18" i="7"/>
  <c r="S15" i="7"/>
  <c r="C18" i="7"/>
  <c r="C8" i="18"/>
  <c r="C9" i="18"/>
  <c r="C10" i="18"/>
  <c r="C11" i="18"/>
  <c r="C12" i="18"/>
  <c r="C13" i="18"/>
  <c r="C14" i="18"/>
  <c r="C15" i="18"/>
  <c r="C7" i="18"/>
  <c r="B16" i="18"/>
  <c r="O7" i="7"/>
  <c r="R15" i="7"/>
  <c r="N15" i="7"/>
  <c r="S91" i="3"/>
  <c r="C19" i="7" s="1"/>
  <c r="G80" i="3"/>
  <c r="G83" i="3"/>
  <c r="V60" i="89"/>
  <c r="U60" i="89"/>
  <c r="H18" i="87"/>
  <c r="X76" i="3"/>
  <c r="X90" i="3"/>
  <c r="X89" i="3"/>
  <c r="X88" i="3"/>
  <c r="X87" i="3"/>
  <c r="X86" i="3"/>
  <c r="X85" i="3"/>
  <c r="X84" i="3"/>
  <c r="X83" i="3"/>
  <c r="X82" i="3"/>
  <c r="X81" i="3"/>
  <c r="X80" i="3"/>
  <c r="X79" i="3"/>
  <c r="V61" i="89" l="1"/>
  <c r="W60" i="89"/>
  <c r="I130" i="41"/>
  <c r="J130" i="41"/>
  <c r="K130" i="41" s="1"/>
  <c r="D130" i="41"/>
  <c r="E130" i="41"/>
  <c r="F130" i="41"/>
  <c r="G130" i="41"/>
  <c r="B130" i="41"/>
  <c r="E92" i="17"/>
  <c r="G92" i="17"/>
  <c r="H92" i="17"/>
  <c r="I92" i="17"/>
  <c r="J92" i="17"/>
  <c r="B92" i="17"/>
  <c r="F92" i="17" s="1"/>
  <c r="A92" i="17"/>
  <c r="H18" i="63" l="1"/>
  <c r="B145" i="41"/>
  <c r="B127" i="41"/>
  <c r="B128" i="41" s="1"/>
  <c r="B129" i="41" s="1"/>
  <c r="D145" i="41"/>
  <c r="E145" i="41"/>
  <c r="F145" i="41"/>
  <c r="G145" i="41"/>
  <c r="W50" i="89"/>
  <c r="V50" i="89"/>
  <c r="U50" i="89"/>
  <c r="V88" i="3"/>
  <c r="V83" i="3"/>
  <c r="V80" i="3"/>
  <c r="V65" i="3"/>
  <c r="I114" i="41"/>
  <c r="J114" i="41"/>
  <c r="D114" i="41"/>
  <c r="E114" i="41"/>
  <c r="F114" i="41"/>
  <c r="G114" i="41"/>
  <c r="H18" i="96"/>
  <c r="I4" i="96"/>
  <c r="H4" i="96"/>
  <c r="G4" i="96"/>
  <c r="F4" i="96"/>
  <c r="E4" i="96"/>
  <c r="D4" i="96"/>
  <c r="C4" i="96"/>
  <c r="B4" i="96"/>
  <c r="H18" i="95"/>
  <c r="I4" i="95"/>
  <c r="H4" i="95"/>
  <c r="G4" i="95"/>
  <c r="F4" i="95"/>
  <c r="E4" i="95"/>
  <c r="D4" i="95"/>
  <c r="C4" i="95"/>
  <c r="B4" i="95"/>
  <c r="H18" i="94"/>
  <c r="I4" i="94"/>
  <c r="H4" i="94"/>
  <c r="G4" i="94"/>
  <c r="F4" i="94"/>
  <c r="E4" i="94"/>
  <c r="D4" i="94"/>
  <c r="C4" i="94"/>
  <c r="B4" i="94"/>
  <c r="K114" i="41" l="1"/>
  <c r="V51" i="89"/>
  <c r="H20" i="96"/>
  <c r="H20" i="95"/>
  <c r="H20" i="94"/>
  <c r="J129" i="41"/>
  <c r="K129" i="41" s="1"/>
  <c r="J127" i="41"/>
  <c r="I129" i="41"/>
  <c r="D129" i="41"/>
  <c r="E129" i="41"/>
  <c r="F129" i="41"/>
  <c r="G129" i="41"/>
  <c r="J128" i="41"/>
  <c r="Z90" i="3"/>
  <c r="B85" i="17"/>
  <c r="F85" i="17" s="1"/>
  <c r="B86" i="17"/>
  <c r="F86" i="17" s="1"/>
  <c r="B90" i="17"/>
  <c r="F90" i="17" s="1"/>
  <c r="B91" i="17"/>
  <c r="F91" i="17" s="1"/>
  <c r="Z89" i="3"/>
  <c r="W91" i="3"/>
  <c r="R91" i="3"/>
  <c r="O91" i="3"/>
  <c r="P91" i="3"/>
  <c r="Q91" i="3"/>
  <c r="N91" i="3"/>
  <c r="M91" i="3"/>
  <c r="Z88" i="3"/>
  <c r="G90" i="3"/>
  <c r="D92" i="17" s="1"/>
  <c r="H18" i="93"/>
  <c r="I4" i="93"/>
  <c r="H4" i="93"/>
  <c r="G4" i="93"/>
  <c r="F4" i="93"/>
  <c r="E4" i="93"/>
  <c r="D4" i="93"/>
  <c r="C4" i="93"/>
  <c r="B4" i="93"/>
  <c r="B7" i="17"/>
  <c r="B8" i="17"/>
  <c r="B9" i="17"/>
  <c r="B10" i="17"/>
  <c r="B11" i="17"/>
  <c r="F11" i="17" s="1"/>
  <c r="B12" i="17"/>
  <c r="F12" i="17" s="1"/>
  <c r="B13" i="17"/>
  <c r="F13" i="17" s="1"/>
  <c r="B14" i="17"/>
  <c r="B15" i="17"/>
  <c r="B16" i="17"/>
  <c r="F16" i="17" s="1"/>
  <c r="B17" i="17"/>
  <c r="B18" i="17"/>
  <c r="F18" i="17" s="1"/>
  <c r="B19" i="17"/>
  <c r="B20" i="17"/>
  <c r="B21" i="17"/>
  <c r="B22" i="17"/>
  <c r="F22" i="17" s="1"/>
  <c r="B23" i="17"/>
  <c r="B24" i="17"/>
  <c r="B25" i="17"/>
  <c r="F25" i="17" s="1"/>
  <c r="B26" i="17"/>
  <c r="F26" i="17" s="1"/>
  <c r="B27" i="17"/>
  <c r="B28" i="17"/>
  <c r="B29" i="17"/>
  <c r="B30" i="17"/>
  <c r="B31" i="17"/>
  <c r="B32" i="17"/>
  <c r="F32" i="17" s="1"/>
  <c r="B33" i="17"/>
  <c r="F33" i="17" s="1"/>
  <c r="B34" i="17"/>
  <c r="B35" i="17"/>
  <c r="F35" i="17" s="1"/>
  <c r="B36" i="17"/>
  <c r="B37" i="17"/>
  <c r="B38" i="17"/>
  <c r="B39" i="17"/>
  <c r="B40" i="17"/>
  <c r="F40" i="17" s="1"/>
  <c r="B41" i="17"/>
  <c r="B42" i="17"/>
  <c r="B43" i="17"/>
  <c r="B44" i="17"/>
  <c r="F44" i="17" s="1"/>
  <c r="B45" i="17"/>
  <c r="B46" i="17"/>
  <c r="F46" i="17" s="1"/>
  <c r="B47" i="17"/>
  <c r="B48" i="17"/>
  <c r="F48" i="17" s="1"/>
  <c r="B49" i="17"/>
  <c r="F49" i="17" s="1"/>
  <c r="B50" i="17"/>
  <c r="F50" i="17" s="1"/>
  <c r="B51" i="17"/>
  <c r="B52" i="17"/>
  <c r="F52" i="17" s="1"/>
  <c r="B53" i="17"/>
  <c r="F53" i="17" s="1"/>
  <c r="B54" i="17"/>
  <c r="F54" i="17" s="1"/>
  <c r="B55" i="17"/>
  <c r="B56" i="17"/>
  <c r="F56" i="17" s="1"/>
  <c r="B57" i="17"/>
  <c r="F57" i="17" s="1"/>
  <c r="B58" i="17"/>
  <c r="F58" i="17" s="1"/>
  <c r="B59" i="17"/>
  <c r="F59" i="17" s="1"/>
  <c r="B60" i="17"/>
  <c r="F60" i="17" s="1"/>
  <c r="B61" i="17"/>
  <c r="F61" i="17" s="1"/>
  <c r="B62" i="17"/>
  <c r="F62" i="17" s="1"/>
  <c r="B63" i="17"/>
  <c r="F63" i="17" s="1"/>
  <c r="B64" i="17"/>
  <c r="F64" i="17" s="1"/>
  <c r="B65" i="17"/>
  <c r="F65" i="17" s="1"/>
  <c r="B66" i="17"/>
  <c r="F66" i="17" s="1"/>
  <c r="B67" i="17"/>
  <c r="F67" i="17" s="1"/>
  <c r="B68" i="17"/>
  <c r="F68" i="17" s="1"/>
  <c r="B69" i="17"/>
  <c r="F69" i="17" s="1"/>
  <c r="B70" i="17"/>
  <c r="F70" i="17" s="1"/>
  <c r="B71" i="17"/>
  <c r="F71" i="17" s="1"/>
  <c r="B72" i="17"/>
  <c r="F72" i="17" s="1"/>
  <c r="B73" i="17"/>
  <c r="F73" i="17" s="1"/>
  <c r="B74" i="17"/>
  <c r="F74" i="17" s="1"/>
  <c r="B75" i="17"/>
  <c r="F75" i="17" s="1"/>
  <c r="B76" i="17"/>
  <c r="F76" i="17" s="1"/>
  <c r="B77" i="17"/>
  <c r="B78" i="17"/>
  <c r="F78" i="17" s="1"/>
  <c r="B79" i="17"/>
  <c r="F79" i="17" s="1"/>
  <c r="B80" i="17"/>
  <c r="F80" i="17" s="1"/>
  <c r="B81" i="17"/>
  <c r="F81" i="17" s="1"/>
  <c r="B82" i="17"/>
  <c r="F82" i="17" s="1"/>
  <c r="B83" i="17"/>
  <c r="F83" i="17" s="1"/>
  <c r="B84" i="17"/>
  <c r="F84" i="17" s="1"/>
  <c r="B87" i="17"/>
  <c r="F87" i="17" s="1"/>
  <c r="B88" i="17"/>
  <c r="F88" i="17" s="1"/>
  <c r="B89" i="17"/>
  <c r="F89" i="17" s="1"/>
  <c r="B6" i="17"/>
  <c r="J90" i="17"/>
  <c r="I90" i="17"/>
  <c r="H90" i="17"/>
  <c r="G90" i="17"/>
  <c r="E90" i="17"/>
  <c r="S3" i="7"/>
  <c r="J121" i="41"/>
  <c r="I121" i="41"/>
  <c r="G121" i="41"/>
  <c r="F121" i="41"/>
  <c r="E121" i="41"/>
  <c r="D121" i="41"/>
  <c r="Z80" i="3"/>
  <c r="Z81" i="3"/>
  <c r="Z82" i="3"/>
  <c r="G81" i="3"/>
  <c r="K121" i="41" l="1"/>
  <c r="H20" i="93"/>
  <c r="J133" i="41"/>
  <c r="J134" i="41"/>
  <c r="J135" i="41"/>
  <c r="J136" i="41"/>
  <c r="J132" i="41"/>
  <c r="G136" i="41"/>
  <c r="F136" i="41"/>
  <c r="E136" i="41"/>
  <c r="D136" i="41"/>
  <c r="G135" i="41"/>
  <c r="F135" i="41"/>
  <c r="E135" i="41"/>
  <c r="D135" i="41"/>
  <c r="G134" i="41"/>
  <c r="F134" i="41"/>
  <c r="E134" i="41"/>
  <c r="D134" i="41"/>
  <c r="G133" i="41"/>
  <c r="F133" i="41"/>
  <c r="E133" i="41"/>
  <c r="D133" i="41"/>
  <c r="G132" i="41"/>
  <c r="F132" i="41"/>
  <c r="E132" i="41"/>
  <c r="D132" i="41"/>
  <c r="V45" i="3" l="1"/>
  <c r="I136" i="41" s="1"/>
  <c r="K136" i="41" s="1"/>
  <c r="V43" i="3"/>
  <c r="I135" i="41" s="1"/>
  <c r="K135" i="41" s="1"/>
  <c r="V25" i="3"/>
  <c r="I133" i="41" s="1"/>
  <c r="K133" i="41" s="1"/>
  <c r="V6" i="3"/>
  <c r="S6" i="7"/>
  <c r="S7" i="7"/>
  <c r="S8" i="7"/>
  <c r="S9" i="7"/>
  <c r="S10" i="7"/>
  <c r="S12" i="7"/>
  <c r="S13" i="7"/>
  <c r="S14" i="7"/>
  <c r="S11" i="7"/>
  <c r="S5" i="7"/>
  <c r="J9" i="17"/>
  <c r="J10" i="17"/>
  <c r="J11" i="17"/>
  <c r="J12" i="17"/>
  <c r="J14" i="17"/>
  <c r="J15" i="17"/>
  <c r="J16" i="17"/>
  <c r="J17" i="17"/>
  <c r="J18" i="17"/>
  <c r="J19" i="17"/>
  <c r="J20" i="17"/>
  <c r="J21" i="17"/>
  <c r="J22" i="17"/>
  <c r="J23" i="17"/>
  <c r="J24" i="17"/>
  <c r="J25" i="17"/>
  <c r="J26" i="17"/>
  <c r="J28" i="17"/>
  <c r="J29" i="17"/>
  <c r="J30" i="17"/>
  <c r="J31" i="17"/>
  <c r="J32" i="17"/>
  <c r="J33" i="17"/>
  <c r="J34" i="17"/>
  <c r="J35" i="17"/>
  <c r="J36" i="17"/>
  <c r="J38" i="17"/>
  <c r="J39" i="17"/>
  <c r="J40" i="17"/>
  <c r="J41" i="17"/>
  <c r="J42" i="17"/>
  <c r="J43" i="17"/>
  <c r="J44" i="17"/>
  <c r="J46" i="17"/>
  <c r="J47" i="17"/>
  <c r="J48" i="17"/>
  <c r="J49" i="17"/>
  <c r="J50" i="17"/>
  <c r="J51" i="17"/>
  <c r="J53" i="17"/>
  <c r="J54" i="17"/>
  <c r="J55" i="17"/>
  <c r="J56" i="17"/>
  <c r="J57" i="17"/>
  <c r="J58" i="17"/>
  <c r="J59" i="17"/>
  <c r="J60" i="17"/>
  <c r="J61" i="17"/>
  <c r="J62" i="17"/>
  <c r="J63" i="17"/>
  <c r="J64" i="17"/>
  <c r="J65" i="17"/>
  <c r="J66" i="17"/>
  <c r="J67" i="17"/>
  <c r="J68" i="17"/>
  <c r="J69" i="17"/>
  <c r="J70" i="17"/>
  <c r="J71" i="17"/>
  <c r="J72" i="17"/>
  <c r="J73" i="17"/>
  <c r="J74" i="17"/>
  <c r="J75" i="17"/>
  <c r="J76" i="17"/>
  <c r="J77" i="17"/>
  <c r="J78" i="17"/>
  <c r="J79" i="17"/>
  <c r="J81" i="17"/>
  <c r="J82" i="17"/>
  <c r="J83" i="17"/>
  <c r="J84" i="17"/>
  <c r="J85" i="17"/>
  <c r="J86" i="17"/>
  <c r="J87" i="17"/>
  <c r="J88" i="17"/>
  <c r="J89" i="17"/>
  <c r="J91" i="17"/>
  <c r="J7" i="17"/>
  <c r="J6" i="17"/>
  <c r="G89" i="3"/>
  <c r="D91" i="17" s="1"/>
  <c r="G88" i="3"/>
  <c r="D90" i="17" s="1"/>
  <c r="G87" i="3"/>
  <c r="D89" i="17" s="1"/>
  <c r="G86" i="3"/>
  <c r="G85" i="3"/>
  <c r="G84" i="3"/>
  <c r="D85" i="17"/>
  <c r="G82" i="3"/>
  <c r="G79" i="3"/>
  <c r="D81" i="17" s="1"/>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10" i="3"/>
  <c r="G9" i="3"/>
  <c r="G8" i="3"/>
  <c r="G7" i="3"/>
  <c r="G6" i="3"/>
  <c r="G5" i="3"/>
  <c r="G4" i="3"/>
  <c r="E81" i="17"/>
  <c r="G81" i="17"/>
  <c r="H81" i="17"/>
  <c r="I81" i="17"/>
  <c r="D83" i="17"/>
  <c r="E83" i="17"/>
  <c r="G83" i="17"/>
  <c r="H83" i="17"/>
  <c r="I83" i="17"/>
  <c r="E84" i="17"/>
  <c r="G84" i="17"/>
  <c r="H84" i="17"/>
  <c r="I84" i="17"/>
  <c r="E85" i="17"/>
  <c r="G85" i="17"/>
  <c r="H85" i="17"/>
  <c r="I85" i="17"/>
  <c r="E86" i="17"/>
  <c r="G86" i="17"/>
  <c r="H86" i="17"/>
  <c r="I86" i="17"/>
  <c r="E87" i="17"/>
  <c r="G87" i="17"/>
  <c r="H87" i="17"/>
  <c r="I87" i="17"/>
  <c r="E88" i="17"/>
  <c r="G88" i="17"/>
  <c r="H88" i="17"/>
  <c r="I88" i="17"/>
  <c r="E89" i="17"/>
  <c r="G89" i="17"/>
  <c r="H89" i="17"/>
  <c r="I89" i="17"/>
  <c r="E91" i="17"/>
  <c r="G91" i="17"/>
  <c r="H91" i="17"/>
  <c r="I91" i="17"/>
  <c r="I122" i="41"/>
  <c r="J122" i="41"/>
  <c r="K122" i="41" s="1"/>
  <c r="I123" i="41"/>
  <c r="J123" i="41"/>
  <c r="I124" i="41"/>
  <c r="J124" i="41"/>
  <c r="I125" i="41"/>
  <c r="J125" i="41"/>
  <c r="K125" i="41" s="1"/>
  <c r="I126" i="41"/>
  <c r="J126" i="41"/>
  <c r="I127" i="41"/>
  <c r="I128" i="41"/>
  <c r="K128" i="41" s="1"/>
  <c r="D122" i="41"/>
  <c r="E122" i="41"/>
  <c r="F122" i="41"/>
  <c r="G122" i="41"/>
  <c r="D123" i="41"/>
  <c r="E123" i="41"/>
  <c r="F123" i="41"/>
  <c r="G123" i="41"/>
  <c r="D124" i="41"/>
  <c r="E124" i="41"/>
  <c r="F124" i="41"/>
  <c r="G124" i="41"/>
  <c r="D125" i="41"/>
  <c r="E125" i="41"/>
  <c r="F125" i="41"/>
  <c r="G125" i="41"/>
  <c r="D126" i="41"/>
  <c r="E126" i="41"/>
  <c r="F126" i="41"/>
  <c r="G126" i="41"/>
  <c r="D127" i="41"/>
  <c r="E127" i="41"/>
  <c r="F127" i="41"/>
  <c r="G127" i="41"/>
  <c r="D128" i="41"/>
  <c r="E128" i="41"/>
  <c r="F128" i="41"/>
  <c r="G128" i="41"/>
  <c r="Z83" i="3"/>
  <c r="Z84" i="3"/>
  <c r="Z85" i="3"/>
  <c r="Z86" i="3"/>
  <c r="Z87" i="3"/>
  <c r="Z79" i="3"/>
  <c r="F9" i="18" l="1"/>
  <c r="D11" i="18"/>
  <c r="F13" i="18"/>
  <c r="D15" i="18"/>
  <c r="D9" i="18"/>
  <c r="D7" i="18"/>
  <c r="D8" i="18"/>
  <c r="G9" i="18"/>
  <c r="E11" i="18"/>
  <c r="G13" i="18"/>
  <c r="E15" i="18"/>
  <c r="E7" i="18"/>
  <c r="E9" i="18"/>
  <c r="E8" i="18"/>
  <c r="F11" i="18"/>
  <c r="F15" i="18"/>
  <c r="G14" i="18"/>
  <c r="F8" i="18"/>
  <c r="D10" i="18"/>
  <c r="G11" i="18"/>
  <c r="D14" i="18"/>
  <c r="G15" i="18"/>
  <c r="D13" i="18"/>
  <c r="G8" i="18"/>
  <c r="E10" i="18"/>
  <c r="E14" i="18"/>
  <c r="G7" i="18"/>
  <c r="G10" i="18"/>
  <c r="E13" i="18"/>
  <c r="F10" i="18"/>
  <c r="F14" i="18"/>
  <c r="F7" i="18"/>
  <c r="K126" i="41"/>
  <c r="J27" i="17"/>
  <c r="I132" i="41"/>
  <c r="K132" i="41" s="1"/>
  <c r="D87" i="17"/>
  <c r="J8" i="17"/>
  <c r="D88" i="17"/>
  <c r="D84" i="17"/>
  <c r="D86" i="17"/>
  <c r="J45" i="17"/>
  <c r="S5" i="8"/>
  <c r="K123" i="41"/>
  <c r="K124" i="41"/>
  <c r="K127" i="41"/>
  <c r="S4" i="3"/>
  <c r="X4" i="3"/>
  <c r="Z4" i="3"/>
  <c r="S5" i="3"/>
  <c r="T5" i="3"/>
  <c r="X5" i="3"/>
  <c r="Z5" i="3"/>
  <c r="S6" i="3"/>
  <c r="T6" i="3"/>
  <c r="X6" i="3"/>
  <c r="Z6" i="3"/>
  <c r="S7" i="3"/>
  <c r="U7" i="3"/>
  <c r="X7" i="3"/>
  <c r="Z7" i="3"/>
  <c r="V35" i="3"/>
  <c r="V50" i="3"/>
  <c r="J52" i="17" s="1"/>
  <c r="I4" i="35"/>
  <c r="I18" i="35"/>
  <c r="V11" i="3"/>
  <c r="V28" i="89"/>
  <c r="U28" i="89"/>
  <c r="H13" i="18" l="1"/>
  <c r="H7" i="18"/>
  <c r="H14" i="18"/>
  <c r="H9" i="18"/>
  <c r="H15" i="18"/>
  <c r="H8" i="18"/>
  <c r="H10" i="18"/>
  <c r="H11" i="18"/>
  <c r="I134" i="41"/>
  <c r="K134" i="41" s="1"/>
  <c r="J37" i="17"/>
  <c r="J13" i="17"/>
  <c r="V29" i="89"/>
  <c r="W28" i="89"/>
  <c r="I105" i="41"/>
  <c r="K105" i="41" s="1"/>
  <c r="B163" i="41"/>
  <c r="D163" i="41"/>
  <c r="E163" i="41"/>
  <c r="F163" i="41"/>
  <c r="G163" i="41"/>
  <c r="B112" i="41"/>
  <c r="D144" i="41"/>
  <c r="E144" i="41"/>
  <c r="F144" i="41"/>
  <c r="G144" i="41"/>
  <c r="I119" i="41"/>
  <c r="J119" i="41"/>
  <c r="D119" i="41"/>
  <c r="E119" i="41"/>
  <c r="F119" i="41"/>
  <c r="G119" i="41"/>
  <c r="E76" i="17"/>
  <c r="J120" i="41"/>
  <c r="J118" i="41"/>
  <c r="V78" i="3"/>
  <c r="I118" i="41" s="1"/>
  <c r="H18" i="90"/>
  <c r="I4" i="90"/>
  <c r="H4" i="90"/>
  <c r="H20" i="90" s="1"/>
  <c r="G4" i="90"/>
  <c r="F4" i="90"/>
  <c r="E4" i="90"/>
  <c r="D4" i="90"/>
  <c r="C4" i="90"/>
  <c r="B4" i="90"/>
  <c r="B7" i="18"/>
  <c r="B8" i="18"/>
  <c r="B9" i="18"/>
  <c r="B10" i="18"/>
  <c r="B11" i="18"/>
  <c r="B12" i="18"/>
  <c r="B13" i="18"/>
  <c r="B14" i="18"/>
  <c r="B15" i="18"/>
  <c r="B6" i="18"/>
  <c r="I112" i="41"/>
  <c r="J112" i="41"/>
  <c r="I113" i="41"/>
  <c r="J113" i="41"/>
  <c r="I115" i="41"/>
  <c r="J115" i="41"/>
  <c r="I116" i="41"/>
  <c r="J116" i="41"/>
  <c r="I117" i="41"/>
  <c r="J117" i="41"/>
  <c r="I120" i="41"/>
  <c r="I111" i="41"/>
  <c r="I8" i="17"/>
  <c r="I10" i="17"/>
  <c r="I11" i="17"/>
  <c r="I12" i="17"/>
  <c r="I14" i="17"/>
  <c r="I15" i="17"/>
  <c r="I16" i="17"/>
  <c r="I17" i="17"/>
  <c r="I18" i="17"/>
  <c r="I19" i="17"/>
  <c r="I20" i="17"/>
  <c r="I21" i="17"/>
  <c r="I23" i="17"/>
  <c r="I24" i="17"/>
  <c r="I26" i="17"/>
  <c r="I27" i="17"/>
  <c r="I28" i="17"/>
  <c r="I29" i="17"/>
  <c r="I30" i="17"/>
  <c r="I31" i="17"/>
  <c r="I33" i="17"/>
  <c r="I34" i="17"/>
  <c r="I35" i="17"/>
  <c r="I36" i="17"/>
  <c r="I38" i="17"/>
  <c r="I39" i="17"/>
  <c r="I41" i="17"/>
  <c r="I42" i="17"/>
  <c r="I43" i="17"/>
  <c r="I44" i="17"/>
  <c r="I45" i="17"/>
  <c r="I47" i="17"/>
  <c r="I48" i="17"/>
  <c r="I49" i="17"/>
  <c r="I50" i="17"/>
  <c r="I53" i="17"/>
  <c r="I55" i="17"/>
  <c r="I62" i="17"/>
  <c r="I63" i="17"/>
  <c r="I64" i="17"/>
  <c r="I67" i="17"/>
  <c r="I73" i="17"/>
  <c r="I74" i="17"/>
  <c r="I75" i="17"/>
  <c r="I80" i="17"/>
  <c r="I82" i="17"/>
  <c r="I7" i="17"/>
  <c r="I6" i="17"/>
  <c r="V91" i="3" l="1"/>
  <c r="S13" i="8"/>
  <c r="J80" i="17"/>
  <c r="J93" i="17" s="1"/>
  <c r="S6" i="8"/>
  <c r="I140" i="41"/>
  <c r="K119" i="41"/>
  <c r="X74" i="3"/>
  <c r="X8" i="3"/>
  <c r="X9" i="3"/>
  <c r="X10" i="3"/>
  <c r="X12" i="3"/>
  <c r="X13" i="3"/>
  <c r="X14" i="3"/>
  <c r="X15" i="3"/>
  <c r="X16" i="3"/>
  <c r="X17" i="3"/>
  <c r="X18" i="3"/>
  <c r="X19" i="3"/>
  <c r="X20" i="3"/>
  <c r="X21" i="3"/>
  <c r="X22" i="3"/>
  <c r="X23"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5" i="3"/>
  <c r="X77" i="3"/>
  <c r="X78" i="3"/>
  <c r="K120" i="41"/>
  <c r="D120" i="41"/>
  <c r="E120" i="41"/>
  <c r="F120" i="41"/>
  <c r="G120" i="41"/>
  <c r="G162" i="41"/>
  <c r="F162" i="41"/>
  <c r="E162" i="41"/>
  <c r="D162" i="41"/>
  <c r="G76" i="17"/>
  <c r="H76" i="17"/>
  <c r="E72" i="17"/>
  <c r="G72" i="17"/>
  <c r="H72" i="17"/>
  <c r="E73" i="17"/>
  <c r="G73" i="17"/>
  <c r="H73" i="17"/>
  <c r="E74" i="17"/>
  <c r="G74" i="17"/>
  <c r="H74" i="17"/>
  <c r="E75" i="17"/>
  <c r="G75" i="17"/>
  <c r="H75" i="17"/>
  <c r="U56" i="3"/>
  <c r="I58" i="17" s="1"/>
  <c r="U76" i="3"/>
  <c r="I78" i="17" s="1"/>
  <c r="J111" i="41" l="1"/>
  <c r="X24" i="3"/>
  <c r="X11" i="3"/>
  <c r="T121" i="69"/>
  <c r="T120" i="69"/>
  <c r="S120" i="69"/>
  <c r="X91" i="3" l="1"/>
  <c r="O19" i="7" s="1"/>
  <c r="O20" i="7" s="1"/>
  <c r="J140" i="41"/>
  <c r="U120" i="69"/>
  <c r="U49" i="3"/>
  <c r="D106" i="41"/>
  <c r="E106" i="41"/>
  <c r="F106" i="41"/>
  <c r="G106" i="41"/>
  <c r="I4" i="52"/>
  <c r="I4" i="50"/>
  <c r="I4" i="51"/>
  <c r="I4" i="45"/>
  <c r="I4" i="42"/>
  <c r="I4" i="44"/>
  <c r="I4" i="26"/>
  <c r="I4" i="30"/>
  <c r="H20" i="30" s="1"/>
  <c r="I4" i="46"/>
  <c r="I4" i="31"/>
  <c r="I4" i="21"/>
  <c r="I4" i="36"/>
  <c r="I4" i="14"/>
  <c r="I4" i="32"/>
  <c r="I4" i="38"/>
  <c r="I4" i="13"/>
  <c r="I4" i="15"/>
  <c r="I4" i="10"/>
  <c r="I4" i="12"/>
  <c r="I4" i="24"/>
  <c r="I4" i="62"/>
  <c r="I4" i="40"/>
  <c r="H18" i="40"/>
  <c r="Z14" i="3"/>
  <c r="D73" i="17"/>
  <c r="D74" i="17"/>
  <c r="D75" i="17"/>
  <c r="D76" i="17"/>
  <c r="Z69" i="3"/>
  <c r="Z70" i="3"/>
  <c r="Z71" i="3"/>
  <c r="Z72" i="3"/>
  <c r="Z73" i="3"/>
  <c r="Z74" i="3"/>
  <c r="Z75" i="3"/>
  <c r="Z76" i="3"/>
  <c r="Z77" i="3"/>
  <c r="Z78" i="3"/>
  <c r="H18" i="88"/>
  <c r="I4" i="88"/>
  <c r="H4" i="88"/>
  <c r="G4" i="88"/>
  <c r="F4" i="88"/>
  <c r="E4" i="88"/>
  <c r="D4" i="88"/>
  <c r="C4" i="88"/>
  <c r="B4" i="88"/>
  <c r="J188" i="41"/>
  <c r="J159" i="41"/>
  <c r="K257" i="41"/>
  <c r="L257" i="41" s="1"/>
  <c r="J257" i="41"/>
  <c r="I257" i="41"/>
  <c r="V93" i="3" l="1"/>
  <c r="I106" i="41"/>
  <c r="K106" i="41" s="1"/>
  <c r="I51" i="17"/>
  <c r="H20" i="40"/>
  <c r="H20" i="88"/>
  <c r="I239" i="41"/>
  <c r="H220" i="41"/>
  <c r="H191" i="41"/>
  <c r="H162" i="41"/>
  <c r="K112" i="41"/>
  <c r="K113" i="41"/>
  <c r="K115" i="41"/>
  <c r="K116" i="41"/>
  <c r="K117" i="41"/>
  <c r="K118" i="41"/>
  <c r="D112" i="41"/>
  <c r="E112" i="41"/>
  <c r="F112" i="41"/>
  <c r="G112" i="41"/>
  <c r="D113" i="41"/>
  <c r="E113" i="41"/>
  <c r="F113" i="41"/>
  <c r="G113" i="41"/>
  <c r="D115" i="41"/>
  <c r="E115" i="41"/>
  <c r="F115" i="41"/>
  <c r="G115" i="41"/>
  <c r="D116" i="41"/>
  <c r="E116" i="41"/>
  <c r="F116" i="41"/>
  <c r="G116" i="41"/>
  <c r="D117" i="41"/>
  <c r="E117" i="41"/>
  <c r="F117" i="41"/>
  <c r="G117" i="41"/>
  <c r="D118" i="41"/>
  <c r="E118" i="41"/>
  <c r="F118" i="41"/>
  <c r="G118" i="41"/>
  <c r="J239" i="41" l="1"/>
  <c r="J217" i="41"/>
  <c r="I217" i="41"/>
  <c r="I188" i="41"/>
  <c r="K239" i="41"/>
  <c r="L239" i="41" s="1"/>
  <c r="K188" i="41"/>
  <c r="L188" i="41" s="1"/>
  <c r="B144" i="41"/>
  <c r="K217" i="41" l="1"/>
  <c r="L217" i="41" s="1"/>
  <c r="D85" i="41"/>
  <c r="E85" i="41"/>
  <c r="F85" i="41"/>
  <c r="G85" i="41"/>
  <c r="G79" i="41"/>
  <c r="F79" i="41"/>
  <c r="E79" i="41"/>
  <c r="D79" i="41"/>
  <c r="B79" i="41"/>
  <c r="B80" i="41" s="1"/>
  <c r="B81" i="41" s="1"/>
  <c r="B82" i="41" s="1"/>
  <c r="B83" i="41" s="1"/>
  <c r="B84" i="41" s="1"/>
  <c r="B85" i="41" s="1"/>
  <c r="B86" i="41" s="1"/>
  <c r="B87" i="41" s="1"/>
  <c r="B88" i="41" s="1"/>
  <c r="B89" i="41" s="1"/>
  <c r="B90" i="41" s="1"/>
  <c r="B91" i="41" s="1"/>
  <c r="B92" i="41" s="1"/>
  <c r="B93" i="41" s="1"/>
  <c r="B94" i="41" s="1"/>
  <c r="B95" i="41" s="1"/>
  <c r="B96" i="41" s="1"/>
  <c r="B97" i="41" s="1"/>
  <c r="B98" i="41" s="1"/>
  <c r="B99" i="41" s="1"/>
  <c r="B100" i="41" s="1"/>
  <c r="B101" i="41" s="1"/>
  <c r="B102" i="41" s="1"/>
  <c r="B103" i="41" s="1"/>
  <c r="D103" i="41"/>
  <c r="E103" i="41"/>
  <c r="F103" i="41"/>
  <c r="G103" i="41"/>
  <c r="E65" i="17"/>
  <c r="G65" i="17"/>
  <c r="H65" i="17"/>
  <c r="Z64" i="3"/>
  <c r="Z65" i="3"/>
  <c r="I9" i="17"/>
  <c r="I4" i="87"/>
  <c r="H4" i="87"/>
  <c r="H20" i="87" s="1"/>
  <c r="G4" i="87"/>
  <c r="F4" i="87"/>
  <c r="E4" i="87"/>
  <c r="D4" i="87"/>
  <c r="C4" i="87"/>
  <c r="B4" i="87"/>
  <c r="U77" i="3"/>
  <c r="I79" i="17" s="1"/>
  <c r="U64" i="3"/>
  <c r="I66" i="17" s="1"/>
  <c r="U59" i="3"/>
  <c r="I61" i="17" s="1"/>
  <c r="U50" i="3"/>
  <c r="U11" i="3"/>
  <c r="D4" i="85"/>
  <c r="H18" i="35"/>
  <c r="H18" i="86"/>
  <c r="I4" i="86"/>
  <c r="H4" i="86"/>
  <c r="G4" i="86"/>
  <c r="F4" i="86"/>
  <c r="E4" i="86"/>
  <c r="D4" i="86"/>
  <c r="C4" i="86"/>
  <c r="B4" i="86"/>
  <c r="H18" i="85"/>
  <c r="I4" i="85"/>
  <c r="H4" i="85"/>
  <c r="H20" i="85" s="1"/>
  <c r="G4" i="85"/>
  <c r="F4" i="85"/>
  <c r="E4" i="85"/>
  <c r="C4" i="85"/>
  <c r="B4" i="85"/>
  <c r="H18" i="84"/>
  <c r="I4" i="84"/>
  <c r="H4" i="84"/>
  <c r="G4" i="84"/>
  <c r="F4" i="84"/>
  <c r="E4" i="84"/>
  <c r="D4" i="84"/>
  <c r="C4" i="84"/>
  <c r="B4" i="84"/>
  <c r="I102" i="41"/>
  <c r="D102" i="41"/>
  <c r="E102" i="41"/>
  <c r="F102" i="41"/>
  <c r="G102" i="41"/>
  <c r="C2" i="17"/>
  <c r="D72" i="17"/>
  <c r="D82" i="17"/>
  <c r="K10" i="7"/>
  <c r="O6" i="7"/>
  <c r="O8" i="7"/>
  <c r="O9" i="7"/>
  <c r="O10" i="7"/>
  <c r="O12" i="7"/>
  <c r="O13" i="7"/>
  <c r="O14" i="7"/>
  <c r="O11" i="7"/>
  <c r="R6" i="8" s="1"/>
  <c r="O5" i="7"/>
  <c r="T69" i="69"/>
  <c r="T82" i="69"/>
  <c r="T83" i="69" s="1"/>
  <c r="T103" i="69"/>
  <c r="T104" i="69" s="1"/>
  <c r="S103" i="69"/>
  <c r="U38" i="3"/>
  <c r="I40" i="17" s="1"/>
  <c r="B4" i="41"/>
  <c r="B5" i="41" s="1"/>
  <c r="B6" i="41" s="1"/>
  <c r="B7" i="41" s="1"/>
  <c r="B8" i="41" s="1"/>
  <c r="B9" i="41" s="1"/>
  <c r="B10" i="41" s="1"/>
  <c r="B11" i="41" s="1"/>
  <c r="B12" i="41" s="1"/>
  <c r="B13" i="41" s="1"/>
  <c r="B14" i="41" s="1"/>
  <c r="B15" i="41" s="1"/>
  <c r="B16" i="41" s="1"/>
  <c r="B17" i="41" s="1"/>
  <c r="B18" i="41" s="1"/>
  <c r="B19" i="41" s="1"/>
  <c r="B20" i="41" s="1"/>
  <c r="B21" i="41" s="1"/>
  <c r="B22" i="41" s="1"/>
  <c r="B23" i="41" s="1"/>
  <c r="B24" i="41" s="1"/>
  <c r="B25" i="41" s="1"/>
  <c r="B26" i="41" s="1"/>
  <c r="B27" i="41" s="1"/>
  <c r="B28" i="41" s="1"/>
  <c r="B29" i="41" s="1"/>
  <c r="B30" i="41" s="1"/>
  <c r="B31" i="41" s="1"/>
  <c r="B36" i="41"/>
  <c r="B37" i="41" s="1"/>
  <c r="B38" i="41" s="1"/>
  <c r="B39" i="41" s="1"/>
  <c r="B40" i="41" s="1"/>
  <c r="B41" i="41" s="1"/>
  <c r="B42" i="41" s="1"/>
  <c r="B43" i="41" s="1"/>
  <c r="B44" i="41" s="1"/>
  <c r="B45" i="41" s="1"/>
  <c r="B46" i="41" s="1"/>
  <c r="B47" i="41" s="1"/>
  <c r="B48" i="41" s="1"/>
  <c r="B49" i="41" s="1"/>
  <c r="B50" i="41" s="1"/>
  <c r="B51" i="41" s="1"/>
  <c r="B52" i="41" s="1"/>
  <c r="B53" i="41" s="1"/>
  <c r="B54" i="41" s="1"/>
  <c r="B55" i="41" s="1"/>
  <c r="B56" i="41" s="1"/>
  <c r="B57" i="41" s="1"/>
  <c r="B58" i="41" s="1"/>
  <c r="B59" i="41" s="1"/>
  <c r="B113" i="41"/>
  <c r="B114" i="41" s="1"/>
  <c r="B115" i="41" s="1"/>
  <c r="B116" i="41" s="1"/>
  <c r="B117" i="41" s="1"/>
  <c r="B118" i="41" s="1"/>
  <c r="B119" i="41" s="1"/>
  <c r="B120" i="41" s="1"/>
  <c r="B121" i="41" s="1"/>
  <c r="B122" i="41" s="1"/>
  <c r="B123" i="41" s="1"/>
  <c r="B124" i="41" s="1"/>
  <c r="B125" i="41" s="1"/>
  <c r="B126" i="41" s="1"/>
  <c r="G143" i="41"/>
  <c r="F143" i="41"/>
  <c r="E143" i="41"/>
  <c r="D143" i="41"/>
  <c r="U69" i="3"/>
  <c r="I71" i="17" s="1"/>
  <c r="H82" i="17"/>
  <c r="G82" i="17"/>
  <c r="E82" i="17"/>
  <c r="R5" i="8" l="1"/>
  <c r="R7" i="8" s="1"/>
  <c r="I13" i="17"/>
  <c r="I85" i="41"/>
  <c r="K85" i="41" s="1"/>
  <c r="I52" i="17"/>
  <c r="S16" i="8"/>
  <c r="S15" i="8"/>
  <c r="K111" i="41"/>
  <c r="D65" i="17"/>
  <c r="I103" i="41"/>
  <c r="K103" i="41" s="1"/>
  <c r="K102" i="41"/>
  <c r="H20" i="86"/>
  <c r="H20" i="84"/>
  <c r="U103" i="69"/>
  <c r="I159" i="41"/>
  <c r="K159" i="41"/>
  <c r="L159" i="41" s="1"/>
  <c r="H18" i="83"/>
  <c r="I4" i="83"/>
  <c r="H4" i="83"/>
  <c r="H20" i="83" s="1"/>
  <c r="G4" i="83"/>
  <c r="F4" i="83"/>
  <c r="E4" i="83"/>
  <c r="D4" i="83"/>
  <c r="C4" i="83"/>
  <c r="B4" i="83"/>
  <c r="G105" i="41"/>
  <c r="F105" i="41"/>
  <c r="F4" i="41"/>
  <c r="G4" i="41"/>
  <c r="F5" i="41"/>
  <c r="G5" i="41"/>
  <c r="F6" i="41"/>
  <c r="G6" i="41"/>
  <c r="F7" i="41"/>
  <c r="G7" i="41"/>
  <c r="F8" i="41"/>
  <c r="G8" i="41"/>
  <c r="F9" i="41"/>
  <c r="G9" i="41"/>
  <c r="F10" i="41"/>
  <c r="G10" i="41"/>
  <c r="F11" i="41"/>
  <c r="G11" i="41"/>
  <c r="F12" i="41"/>
  <c r="G12" i="41"/>
  <c r="F13" i="41"/>
  <c r="G13" i="41"/>
  <c r="F14" i="41"/>
  <c r="G14" i="41"/>
  <c r="F15" i="41"/>
  <c r="G15" i="41"/>
  <c r="F16" i="41"/>
  <c r="G16" i="41"/>
  <c r="F17" i="41"/>
  <c r="G17" i="41"/>
  <c r="F18" i="41"/>
  <c r="G18" i="41"/>
  <c r="F19" i="41"/>
  <c r="G19" i="41"/>
  <c r="F20" i="41"/>
  <c r="G20" i="41"/>
  <c r="F21" i="41"/>
  <c r="G21" i="41"/>
  <c r="F22" i="41"/>
  <c r="G22" i="41"/>
  <c r="F23" i="41"/>
  <c r="G23" i="41"/>
  <c r="F24" i="41"/>
  <c r="G24" i="41"/>
  <c r="F25" i="41"/>
  <c r="G25" i="41"/>
  <c r="F26" i="41"/>
  <c r="G26" i="41"/>
  <c r="F27" i="41"/>
  <c r="G27" i="41"/>
  <c r="F28" i="41"/>
  <c r="G28" i="41"/>
  <c r="F29" i="41"/>
  <c r="G29" i="41"/>
  <c r="F30" i="41"/>
  <c r="G30" i="41"/>
  <c r="F31" i="41"/>
  <c r="G31" i="41"/>
  <c r="G3" i="41"/>
  <c r="F3" i="41"/>
  <c r="F62" i="41"/>
  <c r="G62" i="41"/>
  <c r="F63" i="41"/>
  <c r="G63" i="41"/>
  <c r="F64" i="41"/>
  <c r="G64" i="41"/>
  <c r="F65" i="41"/>
  <c r="G65" i="41"/>
  <c r="F66" i="41"/>
  <c r="G66" i="41"/>
  <c r="F67" i="41"/>
  <c r="G67" i="41"/>
  <c r="F68" i="41"/>
  <c r="G68" i="41"/>
  <c r="F69" i="41"/>
  <c r="G69" i="41"/>
  <c r="F70" i="41"/>
  <c r="G70" i="41"/>
  <c r="F71" i="41"/>
  <c r="G71" i="41"/>
  <c r="F72" i="41"/>
  <c r="G72" i="41"/>
  <c r="F73" i="41"/>
  <c r="G73" i="41"/>
  <c r="F74" i="41"/>
  <c r="G74" i="41"/>
  <c r="G61" i="41"/>
  <c r="F61" i="41"/>
  <c r="F36" i="41"/>
  <c r="G36" i="41"/>
  <c r="F37" i="41"/>
  <c r="G37" i="41"/>
  <c r="F38" i="41"/>
  <c r="G38" i="41"/>
  <c r="F39" i="41"/>
  <c r="G39" i="41"/>
  <c r="F40" i="41"/>
  <c r="G40" i="41"/>
  <c r="F41" i="41"/>
  <c r="G41" i="41"/>
  <c r="F42" i="41"/>
  <c r="G42" i="41"/>
  <c r="F43" i="41"/>
  <c r="G43" i="41"/>
  <c r="F44" i="41"/>
  <c r="G44" i="41"/>
  <c r="F45" i="41"/>
  <c r="G45" i="41"/>
  <c r="F46" i="41"/>
  <c r="G46" i="41"/>
  <c r="F47" i="41"/>
  <c r="G47" i="41"/>
  <c r="F48" i="41"/>
  <c r="G48" i="41"/>
  <c r="F49" i="41"/>
  <c r="G49" i="41"/>
  <c r="F50" i="41"/>
  <c r="G50" i="41"/>
  <c r="F51" i="41"/>
  <c r="G51" i="41"/>
  <c r="F52" i="41"/>
  <c r="G52" i="41"/>
  <c r="F53" i="41"/>
  <c r="G53" i="41"/>
  <c r="F54" i="41"/>
  <c r="G54" i="41"/>
  <c r="F55" i="41"/>
  <c r="G55" i="41"/>
  <c r="F56" i="41"/>
  <c r="G56" i="41"/>
  <c r="F57" i="41"/>
  <c r="G57" i="41"/>
  <c r="F58" i="41"/>
  <c r="G58" i="41"/>
  <c r="F59" i="41"/>
  <c r="G59" i="41"/>
  <c r="G35" i="41"/>
  <c r="F35" i="41"/>
  <c r="G111" i="41"/>
  <c r="F111" i="41"/>
  <c r="F80" i="41"/>
  <c r="G80" i="41"/>
  <c r="F81" i="41"/>
  <c r="G81" i="41"/>
  <c r="F82" i="41"/>
  <c r="G82" i="41"/>
  <c r="F83" i="41"/>
  <c r="G83" i="41"/>
  <c r="F84" i="41"/>
  <c r="G84" i="41"/>
  <c r="F86" i="41"/>
  <c r="G86" i="41"/>
  <c r="F87" i="41"/>
  <c r="G87" i="41"/>
  <c r="F88" i="41"/>
  <c r="G88" i="41"/>
  <c r="F89" i="41"/>
  <c r="G89" i="41"/>
  <c r="F90" i="41"/>
  <c r="G90" i="41"/>
  <c r="F91" i="41"/>
  <c r="G91" i="41"/>
  <c r="F92" i="41"/>
  <c r="G92" i="41"/>
  <c r="F93" i="41"/>
  <c r="G93" i="41"/>
  <c r="F94" i="41"/>
  <c r="G94" i="41"/>
  <c r="F95" i="41"/>
  <c r="G95" i="41"/>
  <c r="F96" i="41"/>
  <c r="G96" i="41"/>
  <c r="F97" i="41"/>
  <c r="G97" i="41"/>
  <c r="F98" i="41"/>
  <c r="G98" i="41"/>
  <c r="F99" i="41"/>
  <c r="G99" i="41"/>
  <c r="F100" i="41"/>
  <c r="G100" i="41"/>
  <c r="F101" i="41"/>
  <c r="G101" i="41"/>
  <c r="G78" i="41"/>
  <c r="F78" i="41"/>
  <c r="S82" i="69"/>
  <c r="U75" i="3"/>
  <c r="I77" i="17" s="1"/>
  <c r="U74" i="3"/>
  <c r="I76" i="17" s="1"/>
  <c r="U70" i="3"/>
  <c r="I72" i="17" s="1"/>
  <c r="U68" i="3"/>
  <c r="I70" i="17" s="1"/>
  <c r="U67" i="3"/>
  <c r="I69" i="17" s="1"/>
  <c r="U66" i="3"/>
  <c r="I68" i="17" s="1"/>
  <c r="U63" i="3"/>
  <c r="I65" i="17" s="1"/>
  <c r="I4" i="76"/>
  <c r="I4" i="80"/>
  <c r="I4" i="81"/>
  <c r="I4" i="78"/>
  <c r="I4" i="77"/>
  <c r="I4" i="82"/>
  <c r="I4" i="79"/>
  <c r="H20" i="79" s="1"/>
  <c r="C4" i="89"/>
  <c r="C5" i="89" s="1"/>
  <c r="H18" i="82"/>
  <c r="H4" i="82"/>
  <c r="G4" i="82"/>
  <c r="F4" i="82"/>
  <c r="E4" i="82"/>
  <c r="D4" i="82"/>
  <c r="C4" i="82"/>
  <c r="B4" i="82"/>
  <c r="H18" i="81"/>
  <c r="H4" i="81"/>
  <c r="G4" i="81"/>
  <c r="F4" i="81"/>
  <c r="E4" i="81"/>
  <c r="C4" i="81"/>
  <c r="B4" i="81"/>
  <c r="H18" i="80"/>
  <c r="H4" i="80"/>
  <c r="G4" i="80"/>
  <c r="F4" i="80"/>
  <c r="E4" i="80"/>
  <c r="D4" i="80"/>
  <c r="C4" i="80"/>
  <c r="B4" i="80"/>
  <c r="I4" i="16"/>
  <c r="I5" i="19"/>
  <c r="I4" i="22"/>
  <c r="I4" i="39"/>
  <c r="I4" i="37"/>
  <c r="I4" i="33"/>
  <c r="I4" i="73"/>
  <c r="I4" i="72"/>
  <c r="I4" i="68"/>
  <c r="I4" i="75"/>
  <c r="I4" i="65"/>
  <c r="I4" i="59"/>
  <c r="I4" i="74"/>
  <c r="I4" i="61"/>
  <c r="I4" i="57"/>
  <c r="I4" i="55"/>
  <c r="I4" i="58"/>
  <c r="H20" i="58" s="1"/>
  <c r="I4" i="53"/>
  <c r="I4" i="70"/>
  <c r="I4" i="63"/>
  <c r="H20" i="63" s="1"/>
  <c r="I4" i="66"/>
  <c r="H20" i="66" s="1"/>
  <c r="I4" i="67"/>
  <c r="I4" i="56"/>
  <c r="I4" i="64"/>
  <c r="I4" i="60"/>
  <c r="I4" i="27"/>
  <c r="I4" i="20"/>
  <c r="I4" i="29"/>
  <c r="H20" i="29" s="1"/>
  <c r="I4" i="34"/>
  <c r="H4" i="29"/>
  <c r="G4" i="29"/>
  <c r="F4" i="29"/>
  <c r="E4" i="29"/>
  <c r="D4" i="29"/>
  <c r="C4" i="29"/>
  <c r="B4" i="29"/>
  <c r="H4" i="20"/>
  <c r="G4" i="20"/>
  <c r="F4" i="20"/>
  <c r="E4" i="20"/>
  <c r="D4" i="20"/>
  <c r="C4" i="20"/>
  <c r="B4" i="20"/>
  <c r="H4" i="34"/>
  <c r="G4" i="34"/>
  <c r="F4" i="34"/>
  <c r="E4" i="34"/>
  <c r="D4" i="34"/>
  <c r="C4" i="34"/>
  <c r="B4" i="34"/>
  <c r="H4" i="35"/>
  <c r="G4" i="35"/>
  <c r="F4" i="35"/>
  <c r="E4" i="35"/>
  <c r="D4" i="35"/>
  <c r="C4" i="35"/>
  <c r="B4" i="35"/>
  <c r="H4" i="16"/>
  <c r="G4" i="16"/>
  <c r="F4" i="16"/>
  <c r="E4" i="16"/>
  <c r="D4" i="16"/>
  <c r="C4" i="16"/>
  <c r="B4" i="16"/>
  <c r="H5" i="19"/>
  <c r="G5" i="19"/>
  <c r="F5" i="19"/>
  <c r="E5" i="19"/>
  <c r="D5" i="19"/>
  <c r="C5" i="19"/>
  <c r="B5" i="19"/>
  <c r="H4" i="22"/>
  <c r="G4" i="22"/>
  <c r="F4" i="22"/>
  <c r="E4" i="22"/>
  <c r="D4" i="22"/>
  <c r="C4" i="22"/>
  <c r="B4" i="22"/>
  <c r="H4" i="27"/>
  <c r="G4" i="27"/>
  <c r="F4" i="27"/>
  <c r="E4" i="27"/>
  <c r="D4" i="27"/>
  <c r="C4" i="27"/>
  <c r="B4" i="27"/>
  <c r="H4" i="39"/>
  <c r="G4" i="39"/>
  <c r="F4" i="39"/>
  <c r="E4" i="39"/>
  <c r="D4" i="39"/>
  <c r="C4" i="39"/>
  <c r="B4" i="39"/>
  <c r="H4" i="37"/>
  <c r="G4" i="37"/>
  <c r="F4" i="37"/>
  <c r="E4" i="37"/>
  <c r="D4" i="37"/>
  <c r="C4" i="37"/>
  <c r="B4" i="37"/>
  <c r="H4" i="33"/>
  <c r="G4" i="33"/>
  <c r="F4" i="33"/>
  <c r="E4" i="33"/>
  <c r="D4" i="33"/>
  <c r="C4" i="33"/>
  <c r="B4" i="33"/>
  <c r="H4" i="60"/>
  <c r="G4" i="60"/>
  <c r="F4" i="60"/>
  <c r="E4" i="60"/>
  <c r="D4" i="60"/>
  <c r="C4" i="60"/>
  <c r="B4" i="60"/>
  <c r="H4" i="66"/>
  <c r="G4" i="66"/>
  <c r="F4" i="66"/>
  <c r="E4" i="66"/>
  <c r="D4" i="66"/>
  <c r="C4" i="66"/>
  <c r="B4" i="66"/>
  <c r="H4" i="63"/>
  <c r="G4" i="63"/>
  <c r="F4" i="63"/>
  <c r="E4" i="63"/>
  <c r="D4" i="63"/>
  <c r="C4" i="63"/>
  <c r="B4" i="63"/>
  <c r="H4" i="70"/>
  <c r="H20" i="70" s="1"/>
  <c r="G4" i="70"/>
  <c r="F4" i="70"/>
  <c r="E4" i="70"/>
  <c r="D4" i="70"/>
  <c r="C4" i="70"/>
  <c r="B4" i="70"/>
  <c r="H4" i="53"/>
  <c r="G4" i="53"/>
  <c r="F4" i="53"/>
  <c r="E4" i="53"/>
  <c r="D4" i="53"/>
  <c r="C4" i="53"/>
  <c r="B4" i="53"/>
  <c r="H4" i="64"/>
  <c r="G4" i="64"/>
  <c r="F4" i="64"/>
  <c r="E4" i="64"/>
  <c r="D4" i="64"/>
  <c r="C4" i="64"/>
  <c r="B4" i="64"/>
  <c r="H4" i="58"/>
  <c r="G4" i="58"/>
  <c r="F4" i="58"/>
  <c r="E4" i="58"/>
  <c r="D4" i="58"/>
  <c r="C4" i="58"/>
  <c r="B4" i="58"/>
  <c r="H4" i="56"/>
  <c r="G4" i="56"/>
  <c r="F4" i="56"/>
  <c r="E4" i="56"/>
  <c r="D4" i="56"/>
  <c r="C4" i="56"/>
  <c r="B4" i="56"/>
  <c r="H4" i="55"/>
  <c r="G4" i="55"/>
  <c r="F4" i="55"/>
  <c r="E4" i="55"/>
  <c r="D4" i="55"/>
  <c r="C4" i="55"/>
  <c r="B4" i="55"/>
  <c r="H4" i="57"/>
  <c r="G4" i="57"/>
  <c r="F4" i="57"/>
  <c r="E4" i="57"/>
  <c r="D4" i="57"/>
  <c r="C4" i="57"/>
  <c r="B4" i="57"/>
  <c r="H4" i="67"/>
  <c r="G4" i="67"/>
  <c r="F4" i="67"/>
  <c r="E4" i="67"/>
  <c r="D4" i="67"/>
  <c r="C4" i="67"/>
  <c r="B4" i="67"/>
  <c r="H4" i="62"/>
  <c r="G4" i="62"/>
  <c r="F4" i="62"/>
  <c r="E4" i="62"/>
  <c r="D4" i="62"/>
  <c r="C4" i="62"/>
  <c r="B4" i="62"/>
  <c r="H4" i="61"/>
  <c r="G4" i="61"/>
  <c r="F4" i="61"/>
  <c r="E4" i="61"/>
  <c r="D4" i="61"/>
  <c r="C4" i="61"/>
  <c r="B4" i="61"/>
  <c r="H4" i="74"/>
  <c r="G4" i="74"/>
  <c r="F4" i="74"/>
  <c r="E4" i="74"/>
  <c r="D4" i="74"/>
  <c r="C4" i="74"/>
  <c r="B4" i="74"/>
  <c r="H4" i="59"/>
  <c r="G4" i="59"/>
  <c r="F4" i="59"/>
  <c r="E4" i="59"/>
  <c r="D4" i="59"/>
  <c r="C4" i="59"/>
  <c r="B4" i="59"/>
  <c r="H4" i="65"/>
  <c r="G4" i="65"/>
  <c r="F4" i="65"/>
  <c r="E4" i="65"/>
  <c r="D4" i="65"/>
  <c r="C4" i="65"/>
  <c r="B4" i="65"/>
  <c r="H4" i="75"/>
  <c r="H20" i="75" s="1"/>
  <c r="G4" i="75"/>
  <c r="F4" i="75"/>
  <c r="E4" i="75"/>
  <c r="D4" i="75"/>
  <c r="C4" i="75"/>
  <c r="B4" i="75"/>
  <c r="H4" i="68"/>
  <c r="G4" i="68"/>
  <c r="F4" i="68"/>
  <c r="E4" i="68"/>
  <c r="D4" i="68"/>
  <c r="C4" i="68"/>
  <c r="B4" i="68"/>
  <c r="H4" i="72"/>
  <c r="G4" i="72"/>
  <c r="F4" i="72"/>
  <c r="E4" i="72"/>
  <c r="D4" i="72"/>
  <c r="C4" i="72"/>
  <c r="B4" i="72"/>
  <c r="H4" i="73"/>
  <c r="G4" i="73"/>
  <c r="F4" i="73"/>
  <c r="E4" i="73"/>
  <c r="D4" i="73"/>
  <c r="C4" i="73"/>
  <c r="B4" i="73"/>
  <c r="H4" i="79"/>
  <c r="G4" i="79"/>
  <c r="F4" i="79"/>
  <c r="E4" i="79"/>
  <c r="D4" i="79"/>
  <c r="C4" i="79"/>
  <c r="B4" i="79"/>
  <c r="H4" i="77"/>
  <c r="G4" i="77"/>
  <c r="F4" i="77"/>
  <c r="E4" i="77"/>
  <c r="D4" i="77"/>
  <c r="C4" i="77"/>
  <c r="B4" i="77"/>
  <c r="H4" i="78"/>
  <c r="G4" i="78"/>
  <c r="F4" i="78"/>
  <c r="E4" i="78"/>
  <c r="D4" i="78"/>
  <c r="C4" i="78"/>
  <c r="B4" i="78"/>
  <c r="F4" i="76"/>
  <c r="G4" i="76"/>
  <c r="H4" i="76"/>
  <c r="E4" i="76"/>
  <c r="D4" i="76"/>
  <c r="C4" i="76"/>
  <c r="B4" i="76"/>
  <c r="H18" i="79"/>
  <c r="H18" i="78"/>
  <c r="H18" i="77"/>
  <c r="H18" i="76"/>
  <c r="I96" i="41"/>
  <c r="I100" i="41"/>
  <c r="I101" i="41"/>
  <c r="D93" i="41"/>
  <c r="E93" i="41"/>
  <c r="D94" i="41"/>
  <c r="E94" i="41"/>
  <c r="D95" i="41"/>
  <c r="E95" i="41"/>
  <c r="D96" i="41"/>
  <c r="E96" i="41"/>
  <c r="D97" i="41"/>
  <c r="E97" i="41"/>
  <c r="D98" i="41"/>
  <c r="E98" i="41"/>
  <c r="D99" i="41"/>
  <c r="E99" i="41"/>
  <c r="D100" i="41"/>
  <c r="E100" i="41"/>
  <c r="D101" i="41"/>
  <c r="E101" i="41"/>
  <c r="Z66" i="3"/>
  <c r="Z67" i="3"/>
  <c r="Z68" i="3"/>
  <c r="H9" i="17"/>
  <c r="H13" i="17"/>
  <c r="H31" i="17"/>
  <c r="H57" i="17"/>
  <c r="H60" i="17"/>
  <c r="H61" i="17"/>
  <c r="H62" i="17"/>
  <c r="H63" i="17"/>
  <c r="H64" i="17"/>
  <c r="H66" i="17"/>
  <c r="H67" i="17"/>
  <c r="H68" i="17"/>
  <c r="H69" i="17"/>
  <c r="H70" i="17"/>
  <c r="H71" i="17"/>
  <c r="H77" i="17"/>
  <c r="H78" i="17"/>
  <c r="H79" i="17"/>
  <c r="H80" i="17"/>
  <c r="H6"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6" i="17"/>
  <c r="G67" i="17"/>
  <c r="G68" i="17"/>
  <c r="G69" i="17"/>
  <c r="G70" i="17"/>
  <c r="G71" i="17"/>
  <c r="G77" i="17"/>
  <c r="G78" i="17"/>
  <c r="G79" i="17"/>
  <c r="G80" i="17"/>
  <c r="E67" i="17"/>
  <c r="E68" i="17"/>
  <c r="E69" i="17"/>
  <c r="E70" i="17"/>
  <c r="E71" i="17"/>
  <c r="E77" i="17"/>
  <c r="E78" i="17"/>
  <c r="E79" i="17"/>
  <c r="E80" i="17"/>
  <c r="D80" i="17"/>
  <c r="D67" i="17"/>
  <c r="D68" i="17"/>
  <c r="D69" i="17"/>
  <c r="D70" i="17"/>
  <c r="D71" i="17"/>
  <c r="D77" i="17"/>
  <c r="D78" i="17"/>
  <c r="D79" i="17"/>
  <c r="S69" i="69"/>
  <c r="U55" i="3"/>
  <c r="I57" i="17" s="1"/>
  <c r="U52" i="3"/>
  <c r="I54" i="17" s="1"/>
  <c r="H18" i="75"/>
  <c r="E24" i="17"/>
  <c r="H111" i="41"/>
  <c r="U23" i="3"/>
  <c r="I25" i="17" s="1"/>
  <c r="K5" i="7"/>
  <c r="G8" i="7"/>
  <c r="E64" i="17"/>
  <c r="E66" i="17"/>
  <c r="C14" i="89" l="1"/>
  <c r="F4" i="89"/>
  <c r="C13" i="89"/>
  <c r="F77" i="17"/>
  <c r="C12" i="89"/>
  <c r="I19" i="35"/>
  <c r="H19" i="35"/>
  <c r="I20" i="35"/>
  <c r="C9" i="89"/>
  <c r="K140" i="41"/>
  <c r="T6" i="8"/>
  <c r="T5" i="8"/>
  <c r="S17" i="8"/>
  <c r="I92" i="41"/>
  <c r="K92" i="41" s="1"/>
  <c r="I93" i="41"/>
  <c r="K93" i="41" s="1"/>
  <c r="I94" i="41"/>
  <c r="K94" i="41" s="1"/>
  <c r="I95" i="41"/>
  <c r="K95" i="41" s="1"/>
  <c r="I86" i="41"/>
  <c r="K86" i="41" s="1"/>
  <c r="I98" i="41"/>
  <c r="K98" i="41" s="1"/>
  <c r="I88" i="41"/>
  <c r="K88" i="41" s="1"/>
  <c r="I99" i="41"/>
  <c r="K99" i="41" s="1"/>
  <c r="U82" i="69"/>
  <c r="I97" i="41"/>
  <c r="K97" i="41" s="1"/>
  <c r="H20" i="82"/>
  <c r="H20" i="78"/>
  <c r="I80" i="41"/>
  <c r="K80" i="41" s="1"/>
  <c r="H20" i="77"/>
  <c r="H20" i="81"/>
  <c r="H20" i="80"/>
  <c r="H20" i="76"/>
  <c r="K96" i="41"/>
  <c r="K100" i="41"/>
  <c r="K101" i="41"/>
  <c r="U69" i="69"/>
  <c r="T70" i="69"/>
  <c r="D66" i="17"/>
  <c r="U20" i="3"/>
  <c r="E39" i="17"/>
  <c r="A7" i="17"/>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U57" i="3"/>
  <c r="H18" i="74"/>
  <c r="H20" i="74" s="1"/>
  <c r="U30" i="3"/>
  <c r="H18" i="73"/>
  <c r="H20" i="73" s="1"/>
  <c r="S30" i="3"/>
  <c r="S27" i="3"/>
  <c r="S23" i="3"/>
  <c r="S20" i="3"/>
  <c r="H20" i="20"/>
  <c r="I22" i="17" l="1"/>
  <c r="I59" i="17"/>
  <c r="I32" i="17"/>
  <c r="N13" i="8"/>
  <c r="N15" i="8" s="1"/>
  <c r="N6" i="8"/>
  <c r="I79" i="41"/>
  <c r="K79" i="41" s="1"/>
  <c r="I91" i="41"/>
  <c r="I17" i="41"/>
  <c r="I78" i="41"/>
  <c r="I81" i="41"/>
  <c r="K81" i="41" s="1"/>
  <c r="I24" i="41"/>
  <c r="I89" i="41"/>
  <c r="K89" i="41" s="1"/>
  <c r="I27" i="41"/>
  <c r="I20" i="41"/>
  <c r="H11" i="37"/>
  <c r="U44" i="3"/>
  <c r="U58" i="3"/>
  <c r="I60" i="17" s="1"/>
  <c r="H18" i="72"/>
  <c r="I46" i="17" l="1"/>
  <c r="K91" i="41"/>
  <c r="I84" i="41"/>
  <c r="K84" i="41" s="1"/>
  <c r="I90" i="41"/>
  <c r="K90" i="41" s="1"/>
  <c r="H20" i="72"/>
  <c r="D84" i="41"/>
  <c r="E84" i="41"/>
  <c r="D105" i="41" l="1"/>
  <c r="E105" i="41"/>
  <c r="U35" i="3"/>
  <c r="U54" i="3"/>
  <c r="T28" i="69"/>
  <c r="S28" i="69"/>
  <c r="U91" i="3" l="1"/>
  <c r="I37" i="17"/>
  <c r="I56" i="17"/>
  <c r="N5" i="8"/>
  <c r="T29" i="69"/>
  <c r="I83" i="41"/>
  <c r="I87" i="41"/>
  <c r="K87" i="41" s="1"/>
  <c r="I82" i="41"/>
  <c r="U28" i="69"/>
  <c r="E58" i="17"/>
  <c r="E59" i="17"/>
  <c r="E60" i="17"/>
  <c r="E61" i="17"/>
  <c r="E62" i="17"/>
  <c r="E63" i="17"/>
  <c r="H18" i="70"/>
  <c r="D91" i="41"/>
  <c r="E91" i="41"/>
  <c r="H18" i="12"/>
  <c r="D92" i="41"/>
  <c r="E92" i="41"/>
  <c r="D90" i="41"/>
  <c r="E90" i="41"/>
  <c r="D83" i="41"/>
  <c r="E83" i="41"/>
  <c r="Z8" i="3"/>
  <c r="Z9" i="3"/>
  <c r="Z10" i="3"/>
  <c r="Z11" i="3"/>
  <c r="Z12" i="3"/>
  <c r="Z13"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I93" i="17" l="1"/>
  <c r="K19" i="7"/>
  <c r="K82" i="41"/>
  <c r="I108" i="41"/>
  <c r="D60" i="17"/>
  <c r="D62" i="17"/>
  <c r="D63" i="17"/>
  <c r="D64" i="17"/>
  <c r="D58" i="17"/>
  <c r="D59" i="17"/>
  <c r="D61" i="17"/>
  <c r="K83" i="41" l="1"/>
  <c r="J108" i="41"/>
  <c r="S79" i="48"/>
  <c r="S89" i="48"/>
  <c r="R89" i="48"/>
  <c r="U93" i="3" l="1"/>
  <c r="K78" i="41"/>
  <c r="K108" i="41" s="1"/>
  <c r="S90" i="48"/>
  <c r="T89" i="48"/>
  <c r="T57" i="3"/>
  <c r="H59" i="17" s="1"/>
  <c r="T35" i="3"/>
  <c r="T32" i="3"/>
  <c r="E59" i="41"/>
  <c r="D59" i="41"/>
  <c r="H18" i="68"/>
  <c r="H20" i="68"/>
  <c r="S32" i="3"/>
  <c r="G34" i="17" s="1"/>
  <c r="N16" i="8" l="1"/>
  <c r="N17" i="8" s="1"/>
  <c r="O5" i="8"/>
  <c r="I59" i="41"/>
  <c r="K59" i="41" s="1"/>
  <c r="H58" i="17"/>
  <c r="I74" i="41"/>
  <c r="I29" i="41"/>
  <c r="I43" i="41"/>
  <c r="D74" i="41"/>
  <c r="E74" i="41"/>
  <c r="H18" i="42"/>
  <c r="E55" i="17"/>
  <c r="E56" i="17"/>
  <c r="E57" i="17"/>
  <c r="D43" i="41"/>
  <c r="E43" i="41"/>
  <c r="D80" i="41"/>
  <c r="E80" i="41"/>
  <c r="D81" i="41"/>
  <c r="E81" i="41"/>
  <c r="D82" i="41"/>
  <c r="E82" i="41"/>
  <c r="D86" i="41"/>
  <c r="E86" i="41"/>
  <c r="D87" i="41"/>
  <c r="E87" i="41"/>
  <c r="D88" i="41"/>
  <c r="E88" i="41"/>
  <c r="D89" i="41"/>
  <c r="E89" i="41"/>
  <c r="T54" i="3"/>
  <c r="H56" i="17" s="1"/>
  <c r="T48" i="3"/>
  <c r="T44" i="3"/>
  <c r="I54" i="41" l="1"/>
  <c r="I58" i="41"/>
  <c r="I50" i="41"/>
  <c r="O6" i="8"/>
  <c r="K74" i="41"/>
  <c r="K43" i="41"/>
  <c r="D56" i="17"/>
  <c r="D57" i="17"/>
  <c r="H18" i="67"/>
  <c r="H18" i="66"/>
  <c r="H18" i="65"/>
  <c r="S76" i="48"/>
  <c r="R76" i="48"/>
  <c r="H20" i="67" l="1"/>
  <c r="H20" i="65"/>
  <c r="S77" i="48"/>
  <c r="T76" i="48"/>
  <c r="D72" i="41"/>
  <c r="E72" i="41"/>
  <c r="T22" i="3"/>
  <c r="H24" i="17" s="1"/>
  <c r="E78" i="41"/>
  <c r="D78" i="41"/>
  <c r="D55" i="41"/>
  <c r="E55" i="41"/>
  <c r="I70" i="41" l="1"/>
  <c r="T43" i="3"/>
  <c r="H45" i="17" s="1"/>
  <c r="F45" i="17" s="1"/>
  <c r="H18" i="64"/>
  <c r="H20" i="64" s="1"/>
  <c r="T37" i="3"/>
  <c r="H39" i="17" s="1"/>
  <c r="F39" i="17" s="1"/>
  <c r="T51" i="3"/>
  <c r="H53" i="17" s="1"/>
  <c r="S22" i="3"/>
  <c r="G24" i="17" s="1"/>
  <c r="F24" i="17" s="1"/>
  <c r="H18" i="46"/>
  <c r="T49" i="3"/>
  <c r="H51" i="17" s="1"/>
  <c r="F51" i="17" s="1"/>
  <c r="H18" i="62"/>
  <c r="H20" i="62" s="1"/>
  <c r="D58" i="41"/>
  <c r="E58" i="41"/>
  <c r="D54" i="41"/>
  <c r="E54" i="41"/>
  <c r="I44" i="41" l="1"/>
  <c r="H52" i="17"/>
  <c r="I56" i="41"/>
  <c r="I19" i="41"/>
  <c r="H50" i="17"/>
  <c r="I55" i="41"/>
  <c r="K55" i="41" s="1"/>
  <c r="I49" i="41"/>
  <c r="K54" i="41"/>
  <c r="K58" i="41"/>
  <c r="E7" i="17" l="1"/>
  <c r="E8" i="17"/>
  <c r="E9" i="17"/>
  <c r="E10" i="17"/>
  <c r="E11" i="17"/>
  <c r="E12" i="17"/>
  <c r="E13" i="17"/>
  <c r="E14" i="17"/>
  <c r="E15" i="17"/>
  <c r="E16" i="17"/>
  <c r="E17" i="17"/>
  <c r="E18" i="17"/>
  <c r="E19" i="17"/>
  <c r="E20" i="17"/>
  <c r="E21" i="17"/>
  <c r="E22" i="17"/>
  <c r="E23" i="17"/>
  <c r="E25" i="17"/>
  <c r="E26" i="17"/>
  <c r="E27" i="17"/>
  <c r="E28" i="17"/>
  <c r="E29" i="17"/>
  <c r="E30" i="17"/>
  <c r="E31" i="17"/>
  <c r="E32" i="17"/>
  <c r="E33" i="17"/>
  <c r="E34" i="17"/>
  <c r="E35" i="17"/>
  <c r="E36" i="17"/>
  <c r="E37" i="17"/>
  <c r="E38" i="17"/>
  <c r="E40" i="17"/>
  <c r="E41" i="17"/>
  <c r="E42" i="17"/>
  <c r="E43" i="17"/>
  <c r="E44" i="17"/>
  <c r="E45" i="17"/>
  <c r="E46" i="17"/>
  <c r="E47" i="17"/>
  <c r="E48" i="17"/>
  <c r="E49" i="17"/>
  <c r="E50" i="17"/>
  <c r="E51" i="17"/>
  <c r="E52" i="17"/>
  <c r="E53" i="17"/>
  <c r="E54" i="17"/>
  <c r="D57" i="41"/>
  <c r="E57" i="41"/>
  <c r="D48" i="41"/>
  <c r="E48" i="41"/>
  <c r="D54" i="17"/>
  <c r="H18" i="61"/>
  <c r="D38" i="41"/>
  <c r="E38" i="41"/>
  <c r="T21" i="3"/>
  <c r="H23" i="17" s="1"/>
  <c r="S21" i="3"/>
  <c r="G23" i="17" s="1"/>
  <c r="T19" i="3"/>
  <c r="H21" i="17" s="1"/>
  <c r="S19" i="3"/>
  <c r="G21" i="17" s="1"/>
  <c r="T18" i="3"/>
  <c r="S18" i="3"/>
  <c r="T8" i="3"/>
  <c r="T15" i="3"/>
  <c r="H17" i="17" s="1"/>
  <c r="S15" i="3"/>
  <c r="G17" i="17" s="1"/>
  <c r="S8" i="3"/>
  <c r="F17" i="17" l="1"/>
  <c r="F21" i="17"/>
  <c r="F23" i="17"/>
  <c r="I67" i="41"/>
  <c r="G20" i="17"/>
  <c r="I16" i="41"/>
  <c r="G10" i="17"/>
  <c r="I7" i="41"/>
  <c r="I18" i="41"/>
  <c r="G22" i="17"/>
  <c r="I15" i="41"/>
  <c r="G16" i="17"/>
  <c r="I13" i="41"/>
  <c r="H22" i="17"/>
  <c r="I69" i="41"/>
  <c r="K69" i="41" s="1"/>
  <c r="I62" i="41"/>
  <c r="H10" i="17"/>
  <c r="I68" i="41"/>
  <c r="K68" i="41" s="1"/>
  <c r="H20" i="17"/>
  <c r="H16" i="17"/>
  <c r="I65" i="41"/>
  <c r="K70" i="41"/>
  <c r="D55" i="17"/>
  <c r="H20" i="61"/>
  <c r="K49" i="41"/>
  <c r="F10" i="17" l="1"/>
  <c r="F20" i="17"/>
  <c r="D68" i="41"/>
  <c r="E68" i="41"/>
  <c r="D69" i="41"/>
  <c r="E69" i="41"/>
  <c r="D70" i="41"/>
  <c r="E70" i="41"/>
  <c r="D71" i="41"/>
  <c r="E71" i="41"/>
  <c r="D73" i="41"/>
  <c r="E73" i="41"/>
  <c r="T33" i="3"/>
  <c r="T42" i="3"/>
  <c r="H44" i="17" s="1"/>
  <c r="T53" i="3"/>
  <c r="H55" i="17" s="1"/>
  <c r="F55" i="17" s="1"/>
  <c r="T47" i="3"/>
  <c r="H49" i="17" s="1"/>
  <c r="T46" i="3"/>
  <c r="T45" i="3"/>
  <c r="S67" i="48"/>
  <c r="S68" i="48" s="1"/>
  <c r="R67" i="48"/>
  <c r="H18" i="60"/>
  <c r="H20" i="60"/>
  <c r="H18" i="59"/>
  <c r="H20" i="59" s="1"/>
  <c r="K16" i="34"/>
  <c r="J16" i="34"/>
  <c r="R57" i="48"/>
  <c r="S52" i="48"/>
  <c r="S57" i="48" s="1"/>
  <c r="T36" i="3"/>
  <c r="H38" i="17" s="1"/>
  <c r="S36" i="3"/>
  <c r="G38" i="17" s="1"/>
  <c r="H18" i="45"/>
  <c r="T28" i="3"/>
  <c r="H30" i="17" s="1"/>
  <c r="S28" i="3"/>
  <c r="D66" i="41"/>
  <c r="E66" i="41"/>
  <c r="D67" i="41"/>
  <c r="E67" i="41"/>
  <c r="D65" i="41"/>
  <c r="E65" i="41"/>
  <c r="D61" i="41"/>
  <c r="E61" i="41"/>
  <c r="D62" i="41"/>
  <c r="E62" i="41"/>
  <c r="D63" i="41"/>
  <c r="E63" i="41"/>
  <c r="D64" i="41"/>
  <c r="E64" i="41"/>
  <c r="T17" i="3"/>
  <c r="H19" i="17" s="1"/>
  <c r="S17" i="3"/>
  <c r="G19" i="17" s="1"/>
  <c r="H18" i="14"/>
  <c r="D49" i="17"/>
  <c r="H18" i="58"/>
  <c r="D56" i="41"/>
  <c r="E56" i="41"/>
  <c r="F38" i="17" l="1"/>
  <c r="F19" i="17"/>
  <c r="H48" i="17"/>
  <c r="I53" i="41"/>
  <c r="K53" i="41" s="1"/>
  <c r="I66" i="41"/>
  <c r="K66" i="41" s="1"/>
  <c r="H18" i="17"/>
  <c r="G37" i="17"/>
  <c r="I31" i="41"/>
  <c r="I42" i="41"/>
  <c r="K42" i="41" s="1"/>
  <c r="H34" i="17"/>
  <c r="F34" i="17" s="1"/>
  <c r="I57" i="41"/>
  <c r="K57" i="41" s="1"/>
  <c r="H54" i="17"/>
  <c r="I48" i="41"/>
  <c r="K48" i="41" s="1"/>
  <c r="I73" i="41"/>
  <c r="K73" i="41" s="1"/>
  <c r="H37" i="17"/>
  <c r="G18" i="17"/>
  <c r="I14" i="41"/>
  <c r="I71" i="41"/>
  <c r="K71" i="41" s="1"/>
  <c r="H29" i="17"/>
  <c r="H46" i="17"/>
  <c r="I51" i="41"/>
  <c r="K51" i="41" s="1"/>
  <c r="I25" i="41"/>
  <c r="G29" i="17"/>
  <c r="H47" i="17"/>
  <c r="F47" i="17" s="1"/>
  <c r="I52" i="41"/>
  <c r="K52" i="41" s="1"/>
  <c r="D50" i="17"/>
  <c r="D52" i="17"/>
  <c r="D53" i="17"/>
  <c r="D51" i="17"/>
  <c r="J75" i="41"/>
  <c r="S58" i="48"/>
  <c r="K56" i="41"/>
  <c r="K50" i="41"/>
  <c r="K67" i="41"/>
  <c r="T57" i="48"/>
  <c r="T67" i="48"/>
  <c r="D51" i="41"/>
  <c r="E51" i="41"/>
  <c r="D52" i="41"/>
  <c r="E52" i="41"/>
  <c r="D53" i="41"/>
  <c r="E53" i="41"/>
  <c r="H18" i="57"/>
  <c r="H20" i="57"/>
  <c r="H18" i="56"/>
  <c r="H20" i="56" s="1"/>
  <c r="H18" i="55"/>
  <c r="S37" i="48"/>
  <c r="R37" i="48"/>
  <c r="S30" i="48"/>
  <c r="R30" i="48"/>
  <c r="S47" i="48"/>
  <c r="R47" i="48"/>
  <c r="F29" i="17" l="1"/>
  <c r="F37" i="17"/>
  <c r="S48" i="48"/>
  <c r="S31" i="48"/>
  <c r="S38" i="48"/>
  <c r="T47" i="48"/>
  <c r="H20" i="55"/>
  <c r="T25" i="3"/>
  <c r="H18" i="10"/>
  <c r="B4" i="52"/>
  <c r="H15" i="29"/>
  <c r="D47" i="17"/>
  <c r="D48" i="17"/>
  <c r="D45" i="17"/>
  <c r="D43" i="17"/>
  <c r="S25" i="3"/>
  <c r="I39" i="41" l="1"/>
  <c r="K39" i="41" s="1"/>
  <c r="I35" i="41"/>
  <c r="H8" i="17"/>
  <c r="I61" i="41"/>
  <c r="H7" i="17"/>
  <c r="I22" i="41"/>
  <c r="D46" i="17"/>
  <c r="D44" i="17"/>
  <c r="T31" i="3"/>
  <c r="H33" i="17" s="1"/>
  <c r="S31" i="3"/>
  <c r="G33" i="17" s="1"/>
  <c r="A5" i="3"/>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D49" i="41"/>
  <c r="E49" i="41"/>
  <c r="D50" i="41"/>
  <c r="E50" i="41"/>
  <c r="H17" i="20"/>
  <c r="T34" i="3"/>
  <c r="H36" i="17" s="1"/>
  <c r="S34" i="3"/>
  <c r="G36" i="17" s="1"/>
  <c r="S29" i="3"/>
  <c r="G31" i="17" s="1"/>
  <c r="F31" i="17" s="1"/>
  <c r="S26" i="3"/>
  <c r="G28" i="17" s="1"/>
  <c r="T24" i="3"/>
  <c r="H26" i="17" s="1"/>
  <c r="S24" i="3"/>
  <c r="G26" i="17" s="1"/>
  <c r="T13" i="3"/>
  <c r="S13" i="3"/>
  <c r="T12" i="3"/>
  <c r="S12" i="3"/>
  <c r="S11" i="3"/>
  <c r="S10" i="3"/>
  <c r="S9" i="3"/>
  <c r="H18" i="38"/>
  <c r="H18" i="13"/>
  <c r="H18" i="24"/>
  <c r="F36" i="17" l="1"/>
  <c r="D5" i="8"/>
  <c r="I21" i="41"/>
  <c r="G25" i="17"/>
  <c r="I9" i="41"/>
  <c r="G12" i="17"/>
  <c r="I10" i="41"/>
  <c r="G13" i="17"/>
  <c r="G8" i="17"/>
  <c r="F8" i="17" s="1"/>
  <c r="I5" i="41"/>
  <c r="H15" i="17"/>
  <c r="I64" i="41"/>
  <c r="K64" i="41" s="1"/>
  <c r="G9" i="17"/>
  <c r="F9" i="17" s="1"/>
  <c r="I6" i="41"/>
  <c r="G11" i="17"/>
  <c r="I8" i="41"/>
  <c r="I38" i="41"/>
  <c r="K38" i="41" s="1"/>
  <c r="H25" i="17"/>
  <c r="G27" i="17"/>
  <c r="I23" i="41"/>
  <c r="I26" i="41"/>
  <c r="G30" i="17"/>
  <c r="F30" i="17" s="1"/>
  <c r="I11" i="41"/>
  <c r="G14" i="17"/>
  <c r="G35" i="17"/>
  <c r="I30" i="41"/>
  <c r="G6" i="17"/>
  <c r="F6" i="17" s="1"/>
  <c r="I3" i="41"/>
  <c r="H14" i="17"/>
  <c r="I63" i="41"/>
  <c r="K63" i="41" s="1"/>
  <c r="H35" i="17"/>
  <c r="I72" i="41"/>
  <c r="K72" i="41" s="1"/>
  <c r="I28" i="41"/>
  <c r="G32" i="17"/>
  <c r="G7" i="17"/>
  <c r="F7" i="17" s="1"/>
  <c r="I4" i="41"/>
  <c r="G15" i="17"/>
  <c r="I12" i="41"/>
  <c r="I41" i="41"/>
  <c r="K41" i="41" s="1"/>
  <c r="H32" i="17"/>
  <c r="K35" i="41"/>
  <c r="K61" i="41"/>
  <c r="K65" i="41"/>
  <c r="K62" i="41"/>
  <c r="H18" i="53"/>
  <c r="D39" i="41"/>
  <c r="E39" i="41"/>
  <c r="E111" i="41"/>
  <c r="D111" i="41"/>
  <c r="F15" i="17" l="1"/>
  <c r="F14" i="17"/>
  <c r="G93" i="17"/>
  <c r="S93" i="3" s="1"/>
  <c r="H20" i="53"/>
  <c r="D41" i="41" l="1"/>
  <c r="E41" i="41"/>
  <c r="D37" i="41"/>
  <c r="E37" i="41"/>
  <c r="D44" i="41"/>
  <c r="E44" i="41"/>
  <c r="D45" i="41"/>
  <c r="E45" i="41"/>
  <c r="D46" i="41"/>
  <c r="E46" i="41"/>
  <c r="D40" i="41"/>
  <c r="E40" i="41"/>
  <c r="D42" i="41"/>
  <c r="E42" i="41"/>
  <c r="D47" i="41"/>
  <c r="E47" i="41"/>
  <c r="D35" i="41"/>
  <c r="E35" i="41"/>
  <c r="D36" i="41"/>
  <c r="T26" i="3"/>
  <c r="H28" i="17" s="1"/>
  <c r="F28" i="17" s="1"/>
  <c r="I40" i="41" l="1"/>
  <c r="K40" i="41" s="1"/>
  <c r="H27" i="17"/>
  <c r="F27" i="17" s="1"/>
  <c r="T9" i="3"/>
  <c r="T40" i="3"/>
  <c r="T39" i="3"/>
  <c r="T41" i="3"/>
  <c r="H43" i="17" s="1"/>
  <c r="F43" i="17" s="1"/>
  <c r="H18" i="52"/>
  <c r="H4" i="52"/>
  <c r="H20" i="52" s="1"/>
  <c r="G4" i="52"/>
  <c r="F4" i="52"/>
  <c r="E4" i="52"/>
  <c r="D4" i="52"/>
  <c r="C4" i="52"/>
  <c r="H18" i="51"/>
  <c r="H4" i="51"/>
  <c r="H20" i="51" s="1"/>
  <c r="G4" i="51"/>
  <c r="F4" i="51"/>
  <c r="E4" i="51"/>
  <c r="D4" i="51"/>
  <c r="C4" i="51"/>
  <c r="B4" i="51"/>
  <c r="K6" i="7"/>
  <c r="K8" i="7"/>
  <c r="K9" i="7"/>
  <c r="K11" i="7"/>
  <c r="M6" i="8" s="1"/>
  <c r="K12" i="7"/>
  <c r="K13" i="7"/>
  <c r="K14" i="7"/>
  <c r="M5" i="8"/>
  <c r="I47" i="41" l="1"/>
  <c r="K47" i="41" s="1"/>
  <c r="H42" i="17"/>
  <c r="F42" i="17" s="1"/>
  <c r="H41" i="17"/>
  <c r="F41" i="17" s="1"/>
  <c r="I46" i="41"/>
  <c r="K46" i="41" s="1"/>
  <c r="H11" i="17"/>
  <c r="I36" i="41"/>
  <c r="H40" i="17"/>
  <c r="I45" i="41"/>
  <c r="K45" i="41" s="1"/>
  <c r="M7" i="8"/>
  <c r="K44" i="41"/>
  <c r="J15" i="7"/>
  <c r="G5" i="7"/>
  <c r="C6" i="18" s="1"/>
  <c r="G6" i="7"/>
  <c r="G9" i="7"/>
  <c r="G10" i="7"/>
  <c r="G11" i="7"/>
  <c r="G12" i="7"/>
  <c r="G13" i="7"/>
  <c r="G14" i="7"/>
  <c r="F15" i="7"/>
  <c r="H18" i="50"/>
  <c r="H4" i="50"/>
  <c r="H20" i="50" s="1"/>
  <c r="G4" i="50"/>
  <c r="F4" i="50"/>
  <c r="E4" i="50"/>
  <c r="D4" i="50"/>
  <c r="C4" i="50"/>
  <c r="B4" i="50"/>
  <c r="D42" i="17"/>
  <c r="T10" i="3"/>
  <c r="T91" i="3" s="1"/>
  <c r="C16" i="18" l="1"/>
  <c r="O23" i="7" s="1"/>
  <c r="F93" i="17"/>
  <c r="I37" i="41"/>
  <c r="K37" i="41" s="1"/>
  <c r="H12" i="17"/>
  <c r="H93" i="17" s="1"/>
  <c r="D40" i="17"/>
  <c r="D38" i="17"/>
  <c r="D41" i="17"/>
  <c r="D39" i="17"/>
  <c r="G15" i="7"/>
  <c r="G18" i="7" s="1"/>
  <c r="G19" i="7"/>
  <c r="K36" i="41"/>
  <c r="K15" i="7"/>
  <c r="H35" i="41" l="1"/>
  <c r="C4" i="48"/>
  <c r="C5" i="48" s="1"/>
  <c r="K18" i="7"/>
  <c r="C4" i="69"/>
  <c r="C5" i="69" s="1"/>
  <c r="T93" i="3"/>
  <c r="K75" i="41"/>
  <c r="I75" i="41"/>
  <c r="H18" i="44"/>
  <c r="H13" i="44"/>
  <c r="K20" i="7" l="1"/>
  <c r="H78" i="41"/>
  <c r="E36" i="41"/>
  <c r="E4" i="41" l="1"/>
  <c r="E5" i="41"/>
  <c r="E6" i="41"/>
  <c r="E7" i="41"/>
  <c r="E8" i="41"/>
  <c r="E9" i="41"/>
  <c r="E10" i="41"/>
  <c r="E11" i="41"/>
  <c r="E12" i="41"/>
  <c r="E13" i="41"/>
  <c r="E14" i="41"/>
  <c r="E15" i="41"/>
  <c r="E16" i="41"/>
  <c r="E17" i="41"/>
  <c r="E18" i="41"/>
  <c r="E19" i="41"/>
  <c r="E20" i="41"/>
  <c r="E21" i="41"/>
  <c r="E22" i="41"/>
  <c r="E23" i="41"/>
  <c r="E24" i="41"/>
  <c r="E25" i="41"/>
  <c r="E26" i="41"/>
  <c r="E27" i="41"/>
  <c r="E28" i="41"/>
  <c r="E29" i="41"/>
  <c r="E30" i="41"/>
  <c r="E31" i="41"/>
  <c r="E3" i="41"/>
  <c r="D4" i="41"/>
  <c r="D5" i="41"/>
  <c r="D6" i="41"/>
  <c r="D7" i="41"/>
  <c r="D8" i="41"/>
  <c r="D9" i="41"/>
  <c r="D10" i="41"/>
  <c r="D11" i="41"/>
  <c r="D12" i="41"/>
  <c r="D13" i="41"/>
  <c r="D14" i="41"/>
  <c r="D15" i="41"/>
  <c r="D16" i="41"/>
  <c r="D17" i="41"/>
  <c r="D18" i="41"/>
  <c r="D19" i="41"/>
  <c r="D20" i="41"/>
  <c r="D21" i="41"/>
  <c r="D22" i="41"/>
  <c r="D23" i="41"/>
  <c r="D24" i="41"/>
  <c r="D25" i="41"/>
  <c r="D26" i="41"/>
  <c r="D27" i="41"/>
  <c r="D28" i="41"/>
  <c r="D29" i="41"/>
  <c r="D30" i="41"/>
  <c r="D31" i="41"/>
  <c r="D3" i="41"/>
  <c r="H11" i="44"/>
  <c r="L13" i="34"/>
  <c r="H18" i="34"/>
  <c r="H16" i="34"/>
  <c r="H14" i="34"/>
  <c r="H13" i="34"/>
  <c r="K9" i="41" l="1"/>
  <c r="H4" i="46"/>
  <c r="G4" i="46"/>
  <c r="F4" i="46"/>
  <c r="E4" i="46"/>
  <c r="D4" i="46"/>
  <c r="C4" i="46"/>
  <c r="B4" i="46"/>
  <c r="H20" i="46" s="1"/>
  <c r="H4" i="45"/>
  <c r="G4" i="45"/>
  <c r="F4" i="45"/>
  <c r="E4" i="45"/>
  <c r="D4" i="45"/>
  <c r="C4" i="45"/>
  <c r="B4" i="45"/>
  <c r="H20" i="45" s="1"/>
  <c r="H4" i="44"/>
  <c r="H20" i="44" s="1"/>
  <c r="G4" i="44"/>
  <c r="F4" i="44"/>
  <c r="E4" i="44"/>
  <c r="D4" i="44"/>
  <c r="C4" i="44"/>
  <c r="B4" i="44"/>
  <c r="D37" i="17"/>
  <c r="H4" i="42"/>
  <c r="G4" i="42"/>
  <c r="F4" i="42"/>
  <c r="E4" i="42"/>
  <c r="D4" i="42"/>
  <c r="C4" i="42"/>
  <c r="B4" i="42"/>
  <c r="H20" i="42" s="1"/>
  <c r="K29" i="41" l="1"/>
  <c r="K19" i="41"/>
  <c r="K31" i="41"/>
  <c r="K26" i="41"/>
  <c r="H11" i="29"/>
  <c r="H18" i="39"/>
  <c r="H20" i="39" s="1"/>
  <c r="H18" i="33"/>
  <c r="H20" i="33" s="1"/>
  <c r="H18" i="37"/>
  <c r="H18" i="26"/>
  <c r="H18" i="30"/>
  <c r="H18" i="27"/>
  <c r="H20" i="27" s="1"/>
  <c r="H18" i="22"/>
  <c r="H19" i="19"/>
  <c r="H18" i="31"/>
  <c r="H18" i="16"/>
  <c r="H18" i="21"/>
  <c r="H18" i="36"/>
  <c r="H18" i="32"/>
  <c r="H18" i="15"/>
  <c r="D31" i="17"/>
  <c r="D34" i="17"/>
  <c r="D35" i="17"/>
  <c r="D36" i="17"/>
  <c r="H4" i="40"/>
  <c r="G4" i="40"/>
  <c r="F4" i="40"/>
  <c r="E4" i="40"/>
  <c r="D4" i="40"/>
  <c r="C4" i="40"/>
  <c r="B4" i="40"/>
  <c r="D33" i="17" l="1"/>
  <c r="D32" i="17"/>
  <c r="K27" i="41"/>
  <c r="K18" i="41"/>
  <c r="K16" i="41"/>
  <c r="K15" i="41"/>
  <c r="K25" i="41"/>
  <c r="K14" i="41"/>
  <c r="K22" i="41"/>
  <c r="K28" i="41"/>
  <c r="K12" i="41"/>
  <c r="K21" i="41"/>
  <c r="K5" i="41"/>
  <c r="K6" i="41"/>
  <c r="K4" i="41"/>
  <c r="K23" i="41"/>
  <c r="K17" i="41"/>
  <c r="K30" i="41"/>
  <c r="K10" i="41"/>
  <c r="K24" i="41"/>
  <c r="K13" i="41"/>
  <c r="K11" i="41"/>
  <c r="K20" i="41"/>
  <c r="K7" i="41" l="1"/>
  <c r="D29" i="17"/>
  <c r="D30" i="17"/>
  <c r="H4" i="38"/>
  <c r="G4" i="38"/>
  <c r="F4" i="38"/>
  <c r="E4" i="38"/>
  <c r="D4" i="38"/>
  <c r="C4" i="38"/>
  <c r="B4" i="38"/>
  <c r="H20" i="38" s="1"/>
  <c r="D8" i="17"/>
  <c r="D9" i="17"/>
  <c r="D10" i="17"/>
  <c r="D14" i="17"/>
  <c r="D15" i="17"/>
  <c r="D18" i="17"/>
  <c r="D21" i="17"/>
  <c r="D25" i="17"/>
  <c r="D26" i="17"/>
  <c r="D27" i="17"/>
  <c r="D28" i="17"/>
  <c r="D16" i="17" l="1"/>
  <c r="D7" i="17"/>
  <c r="D22" i="17"/>
  <c r="D13" i="17"/>
  <c r="D12" i="17"/>
  <c r="D20" i="17"/>
  <c r="D11" i="17"/>
  <c r="D24" i="17"/>
  <c r="D23" i="17"/>
  <c r="D19" i="17"/>
  <c r="D17" i="17"/>
  <c r="H20" i="37"/>
  <c r="C6" i="8"/>
  <c r="C5" i="8"/>
  <c r="H10" i="34"/>
  <c r="H4" i="36"/>
  <c r="G4" i="36"/>
  <c r="F4" i="36"/>
  <c r="E4" i="36"/>
  <c r="D4" i="36"/>
  <c r="C4" i="36"/>
  <c r="B4" i="36"/>
  <c r="H20" i="36" s="1"/>
  <c r="H9" i="34"/>
  <c r="H4" i="32"/>
  <c r="G4" i="32"/>
  <c r="F4" i="32"/>
  <c r="E4" i="32"/>
  <c r="D4" i="32"/>
  <c r="C4" i="32"/>
  <c r="B4" i="32"/>
  <c r="H20" i="32" s="1"/>
  <c r="K13" i="20"/>
  <c r="H14" i="20" s="1"/>
  <c r="J13" i="20"/>
  <c r="H13" i="20" s="1"/>
  <c r="H4" i="31"/>
  <c r="G4" i="31"/>
  <c r="F4" i="31"/>
  <c r="E4" i="31"/>
  <c r="D4" i="31"/>
  <c r="C4" i="31"/>
  <c r="B4" i="31"/>
  <c r="H20" i="31" s="1"/>
  <c r="H4" i="30"/>
  <c r="G4" i="30"/>
  <c r="F4" i="30"/>
  <c r="E4" i="30"/>
  <c r="D4" i="30"/>
  <c r="C4" i="30"/>
  <c r="B4" i="30"/>
  <c r="H20" i="34" l="1"/>
  <c r="H4" i="10"/>
  <c r="H4" i="12"/>
  <c r="H4" i="15"/>
  <c r="H4" i="13"/>
  <c r="H4" i="14"/>
  <c r="H20" i="16"/>
  <c r="H21" i="19"/>
  <c r="H22" i="20"/>
  <c r="H4" i="21"/>
  <c r="H20" i="22"/>
  <c r="H4" i="24"/>
  <c r="H4" i="26"/>
  <c r="G4" i="26" l="1"/>
  <c r="F4" i="26"/>
  <c r="E4" i="26"/>
  <c r="D4" i="26"/>
  <c r="C4" i="26"/>
  <c r="B4" i="26"/>
  <c r="H20" i="26" s="1"/>
  <c r="B15" i="7"/>
  <c r="G4" i="24"/>
  <c r="F4" i="24"/>
  <c r="E4" i="24"/>
  <c r="D4" i="24"/>
  <c r="C4" i="24"/>
  <c r="B4" i="24"/>
  <c r="H20" i="24" s="1"/>
  <c r="G4" i="21"/>
  <c r="F4" i="21"/>
  <c r="E4" i="21"/>
  <c r="D4" i="21"/>
  <c r="C4" i="21"/>
  <c r="B4" i="21"/>
  <c r="H20" i="21" s="1"/>
  <c r="G4" i="14"/>
  <c r="F4" i="14"/>
  <c r="E4" i="14"/>
  <c r="D4" i="14"/>
  <c r="C4" i="14"/>
  <c r="B4" i="14"/>
  <c r="H20" i="14" s="1"/>
  <c r="G4" i="13"/>
  <c r="F4" i="13"/>
  <c r="E4" i="13"/>
  <c r="D4" i="13"/>
  <c r="C4" i="13"/>
  <c r="B4" i="13"/>
  <c r="H20" i="13" s="1"/>
  <c r="G4" i="15"/>
  <c r="F4" i="15"/>
  <c r="E4" i="15"/>
  <c r="D4" i="15"/>
  <c r="C4" i="15"/>
  <c r="B4" i="15"/>
  <c r="H20" i="15" s="1"/>
  <c r="G4" i="12"/>
  <c r="F4" i="12"/>
  <c r="E4" i="12"/>
  <c r="D4" i="12"/>
  <c r="C4" i="12"/>
  <c r="B4" i="12"/>
  <c r="G4" i="10"/>
  <c r="F4" i="10"/>
  <c r="E4" i="10"/>
  <c r="D4" i="10"/>
  <c r="C4" i="10"/>
  <c r="B4" i="10"/>
  <c r="H20" i="10" s="1"/>
  <c r="E6" i="17"/>
  <c r="H9" i="20"/>
  <c r="K11" i="20"/>
  <c r="K10" i="20"/>
  <c r="J11" i="20"/>
  <c r="H11" i="20" s="1"/>
  <c r="J10" i="20"/>
  <c r="H10" i="20" s="1"/>
  <c r="C24" i="89" l="1"/>
  <c r="C10" i="89"/>
  <c r="C19" i="89"/>
  <c r="C11" i="89"/>
  <c r="C15" i="89"/>
  <c r="C18" i="89"/>
  <c r="C16" i="89"/>
  <c r="C17" i="89"/>
  <c r="C19" i="69"/>
  <c r="F4" i="69"/>
  <c r="C24" i="69" s="1"/>
  <c r="C17" i="69"/>
  <c r="C18" i="69"/>
  <c r="C16" i="69"/>
  <c r="C15" i="69"/>
  <c r="C14" i="69"/>
  <c r="C13" i="69"/>
  <c r="C12" i="69"/>
  <c r="C11" i="69"/>
  <c r="C10" i="69"/>
  <c r="C18" i="48"/>
  <c r="C9" i="69"/>
  <c r="I6" i="8"/>
  <c r="I5" i="8"/>
  <c r="C24" i="48"/>
  <c r="C17" i="48"/>
  <c r="C16" i="48"/>
  <c r="C15" i="48"/>
  <c r="C14" i="48"/>
  <c r="C13" i="48"/>
  <c r="C12" i="48"/>
  <c r="C11" i="48"/>
  <c r="C10" i="48"/>
  <c r="K8" i="41"/>
  <c r="H12" i="20"/>
  <c r="C9" i="48"/>
  <c r="D6" i="8"/>
  <c r="C20" i="11"/>
  <c r="C19" i="11"/>
  <c r="C18" i="11"/>
  <c r="C10" i="11"/>
  <c r="C17" i="11"/>
  <c r="C9" i="11"/>
  <c r="C16" i="11"/>
  <c r="C15" i="11"/>
  <c r="C14" i="11"/>
  <c r="C13" i="11"/>
  <c r="C12" i="11"/>
  <c r="C11" i="11"/>
  <c r="D6" i="17"/>
  <c r="C21" i="89" l="1"/>
  <c r="C21" i="69"/>
  <c r="U92" i="3" s="1"/>
  <c r="P5" i="8"/>
  <c r="F6" i="18" s="1"/>
  <c r="C21" i="48"/>
  <c r="I76" i="41" s="1"/>
  <c r="N7" i="8"/>
  <c r="P6" i="8"/>
  <c r="F12" i="18" s="1"/>
  <c r="C21" i="11"/>
  <c r="H5" i="8"/>
  <c r="H6" i="8"/>
  <c r="H10" i="13"/>
  <c r="H10" i="12"/>
  <c r="H12" i="12" s="1"/>
  <c r="H20" i="12" s="1"/>
  <c r="B6" i="8"/>
  <c r="B5" i="8"/>
  <c r="V92" i="3" l="1"/>
  <c r="F16" i="18"/>
  <c r="T92" i="3"/>
  <c r="I13" i="8" s="1"/>
  <c r="S92" i="3"/>
  <c r="D13" i="8" s="1"/>
  <c r="D15" i="8" s="1"/>
  <c r="Q5" i="8"/>
  <c r="I109" i="41"/>
  <c r="Q6" i="8"/>
  <c r="P7" i="8"/>
  <c r="G20" i="7"/>
  <c r="I32" i="41"/>
  <c r="I33" i="41" s="1"/>
  <c r="H7" i="8"/>
  <c r="D16" i="8" l="1"/>
  <c r="D17" i="8" s="1"/>
  <c r="Q7" i="8"/>
  <c r="E6" i="8"/>
  <c r="E5" i="8"/>
  <c r="F5" i="8" s="1"/>
  <c r="U5" i="8" s="1"/>
  <c r="C7" i="8"/>
  <c r="C15" i="7"/>
  <c r="G5" i="8" l="1"/>
  <c r="C4" i="11"/>
  <c r="G6" i="18" l="1"/>
  <c r="C5" i="11"/>
  <c r="V5" i="8" l="1"/>
  <c r="C24" i="11"/>
  <c r="D41" i="1"/>
  <c r="C23" i="48" l="1"/>
  <c r="J32" i="41"/>
  <c r="C26" i="48" l="1"/>
  <c r="C23" i="69" s="1"/>
  <c r="C26" i="69" s="1"/>
  <c r="K3" i="41"/>
  <c r="K32" i="41" s="1"/>
  <c r="L32" i="41" s="1"/>
  <c r="L73" i="41" s="1"/>
  <c r="L75" i="41" s="1"/>
  <c r="L105" i="41" s="1"/>
  <c r="L108" i="41" s="1"/>
  <c r="L134" i="41" s="1"/>
  <c r="L140" i="41" s="1"/>
  <c r="C23" i="89" l="1"/>
  <c r="C26" i="89" s="1"/>
  <c r="F6" i="8"/>
  <c r="D12" i="18" s="1"/>
  <c r="U6" i="8" l="1"/>
  <c r="G12" i="18" s="1"/>
  <c r="G16" i="18" s="1"/>
  <c r="S7" i="8"/>
  <c r="I16" i="8"/>
  <c r="I15" i="8"/>
  <c r="J5" i="8" s="1"/>
  <c r="D6" i="18"/>
  <c r="G6" i="8"/>
  <c r="D16" i="18" l="1"/>
  <c r="V6" i="8"/>
  <c r="V7" i="8" s="1"/>
  <c r="U7" i="8"/>
  <c r="J6" i="8"/>
  <c r="K6" i="8" s="1"/>
  <c r="E12" i="18" s="1"/>
  <c r="H12" i="18" s="1"/>
  <c r="K5" i="8"/>
  <c r="I17" i="8"/>
  <c r="C20" i="7" l="1"/>
  <c r="I7" i="8"/>
  <c r="E6" i="18"/>
  <c r="L5" i="8"/>
  <c r="L6" i="8"/>
  <c r="D7" i="8"/>
  <c r="G7" i="8"/>
  <c r="F7" i="8"/>
  <c r="E16" i="18" l="1"/>
  <c r="H6" i="18"/>
  <c r="H16" i="18" s="1"/>
  <c r="L7" i="8"/>
  <c r="K7" i="8"/>
  <c r="T30" i="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tc={B94B61BE-9E95-456D-83ED-BA5ED89F596A}</author>
    <author>tc={DBD976BE-1EA5-4F82-B578-BB477409D36E}</author>
    <author>tc={0D7C2364-F483-4882-9B78-2FE3EA78EB9B}</author>
    <author>tc={CD0EAA3A-8612-41AC-AEA9-2402CC95F0F9}</author>
    <author>tc={E105EA63-7C78-41C4-8D8F-2A5203F081DB}</author>
    <author>tc={E5436728-87D0-492B-83F9-14F3FA74D779}</author>
    <author>tc={2718DB0D-6394-4B31-BD4D-B1D4C2924D70}</author>
  </authors>
  <commentList>
    <comment ref="I10" authorId="0" shapeId="0" xr:uid="{B94B61BE-9E95-456D-83ED-BA5ED89F596A}">
      <text>
        <t>[Threaded comment]
Your version of Excel allows you to read this threaded comment; however, any edits to it will get removed if the file is opened in a newer version of Excel. Learn more: https://go.microsoft.com/fwlink/?linkid=870924
Comment:
    Includes roof repairs in scope.</t>
      </text>
    </comment>
    <comment ref="M10" authorId="1" shapeId="0" xr:uid="{DBD976BE-1EA5-4F82-B578-BB477409D36E}">
      <text>
        <t>[Threaded comment]
Your version of Excel allows you to read this threaded comment; however, any edits to it will get removed if the file is opened in a newer version of Excel. Learn more: https://go.microsoft.com/fwlink/?linkid=870924
Comment:
    Includes both A&amp;S swing space and FRP scope.</t>
      </text>
    </comment>
    <comment ref="V11" authorId="2" shapeId="0" xr:uid="{0D7C2364-F483-4882-9B78-2FE3EA78EB9B}">
      <text>
        <t>[Threaded comment]
Your version of Excel allows you to read this threaded comment; however, any edits to it will get removed if the file is opened in a newer version of Excel. Learn more: https://go.microsoft.com/fwlink/?linkid=870924
Comment:
    Project will be joint funded, FPR / Divinity + Dean of Students.
Reply:
    The split should be 75% Divinity (FRP) and 25% Student Affairs.</t>
      </text>
    </comment>
    <comment ref="M29" authorId="3" shapeId="0" xr:uid="{CD0EAA3A-8612-41AC-AEA9-2402CC95F0F9}">
      <text>
        <t xml:space="preserve">[Threaded comment]
Your version of Excel allows you to read this threaded comment; however, any edits to it will get removed if the file is opened in a newer version of Excel. Learn more: https://go.microsoft.com/fwlink/?linkid=870924
Comment:
    Includes both A&amp;S third floor renovation FRP (VAV boxes) scope. </t>
      </text>
    </comment>
    <comment ref="I39" authorId="4" shapeId="0" xr:uid="{E105EA63-7C78-41C4-8D8F-2A5203F081DB}">
      <text>
        <t>[Threaded comment]
Your version of Excel allows you to read this threaded comment; however, any edits to it will get removed if the file is opened in a newer version of Excel. Learn more: https://go.microsoft.com/fwlink/?linkid=870924
Comment:
    Feasibility study to occur FY24 as opex cost. Unsure timing of eventual construction.</t>
      </text>
    </comment>
    <comment ref="I40" authorId="5" shapeId="0" xr:uid="{E5436728-87D0-492B-83F9-14F3FA74D779}">
      <text>
        <t>[Threaded comment]
Your version of Excel allows you to read this threaded comment; however, any edits to it will get removed if the file is opened in a newer version of Excel. Learn more: https://go.microsoft.com/fwlink/?linkid=870924
Comment:
    Feasibility study to occur FY24 as opex cost. Unsure timing of eventual construction.</t>
      </text>
    </comment>
    <comment ref="I41" authorId="6" shapeId="0" xr:uid="{2718DB0D-6394-4B31-BD4D-B1D4C2924D70}">
      <text>
        <t>[Threaded comment]
Your version of Excel allows you to read this threaded comment; however, any edits to it will get removed if the file is opened in a newer version of Excel. Learn more: https://go.microsoft.com/fwlink/?linkid=870924
Comment:
    Feasibility study to occur FY24 as opex cost. Unsure timing of eventual construction.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tc={85245034-B175-4331-A4C4-D9D0079EF84F}</author>
  </authors>
  <commentList>
    <comment ref="E44" authorId="0" shapeId="0" xr:uid="{85245034-B175-4331-A4C4-D9D0079EF84F}">
      <text>
        <t>[Threaded comment]
Your version of Excel allows you to read this threaded comment; however, any edits to it will get removed if the file is opened in a newer version of Excel. Learn more: https://go.microsoft.com/fwlink/?linkid=870924
Comment:
    Preliminary cost estimates presented in three options. $4M - $5M range.</t>
      </text>
    </comment>
  </commentList>
</comments>
</file>

<file path=xl/sharedStrings.xml><?xml version="1.0" encoding="utf-8"?>
<sst xmlns="http://schemas.openxmlformats.org/spreadsheetml/2006/main" count="2710" uniqueCount="669">
  <si>
    <t>Financial Unit</t>
  </si>
  <si>
    <t>CBO</t>
  </si>
  <si>
    <t>VC Rollup</t>
  </si>
  <si>
    <t>FY23 GSF</t>
  </si>
  <si>
    <t>10000 - Office of the Chancellor</t>
  </si>
  <si>
    <t>Kwasi Appiah</t>
  </si>
  <si>
    <t>Chancellor</t>
  </si>
  <si>
    <t>11000 - Academic Affairs: Office of the Provost</t>
  </si>
  <si>
    <t>Jennifer Bischoff</t>
  </si>
  <si>
    <t>Provost</t>
  </si>
  <si>
    <t>12000 - Arts and Science: Office of the Dean</t>
  </si>
  <si>
    <t>Josh Brewer</t>
  </si>
  <si>
    <t>13000 - Blair: Office of the Dean</t>
  </si>
  <si>
    <t>Kathryn Dudley</t>
  </si>
  <si>
    <t>14000 - Divinity: Office of the Dean</t>
  </si>
  <si>
    <t>15000 - Engineering: Office of the Dean</t>
  </si>
  <si>
    <t>Hector Silva</t>
  </si>
  <si>
    <t>16000 - Graduate Education</t>
  </si>
  <si>
    <t>Jennifer Gourley</t>
  </si>
  <si>
    <t>17000 - Law: Office of the Dean</t>
  </si>
  <si>
    <t>Bonnie Bielec</t>
  </si>
  <si>
    <t>18200 - Basic Sciences: Office of the Dean</t>
  </si>
  <si>
    <t>Claudia Paz</t>
  </si>
  <si>
    <t>18500 - Health Sciences Education: Office of the Dean</t>
  </si>
  <si>
    <t>Jane Zubulake</t>
  </si>
  <si>
    <t>19000 - Nursing: Office of the Dean</t>
  </si>
  <si>
    <t>20000 - Owen: Office of the Dean</t>
  </si>
  <si>
    <t>Stella Vazna</t>
  </si>
  <si>
    <t>21000 - Peabody College: Office of the Dean</t>
  </si>
  <si>
    <t>Bryan Ratliff</t>
  </si>
  <si>
    <t>25000 - Faculty Affairs: Office of the Vice Provost</t>
  </si>
  <si>
    <t>26000 - Enrollment Affairs: Office of the Vice Provost</t>
  </si>
  <si>
    <t>27000 - Research: Office of the Vice Provost</t>
  </si>
  <si>
    <t>28000 - Undergraduate Affairs and Residential Faculty: Office of the Vice Provost</t>
  </si>
  <si>
    <t>29100 - Housing: Assignments and Operations</t>
  </si>
  <si>
    <t>Ashley Thompson</t>
  </si>
  <si>
    <t>30100 - Dean of Students: Office of the Dean</t>
  </si>
  <si>
    <t>Lauren Kysar</t>
  </si>
  <si>
    <t>30400 - Greek Life</t>
  </si>
  <si>
    <t>31100 - Library System</t>
  </si>
  <si>
    <t>Matthew McGlasson</t>
  </si>
  <si>
    <t>35000 - Administration: Office of the Vice Chancellor</t>
  </si>
  <si>
    <t>Ben Morse</t>
  </si>
  <si>
    <t>Administration</t>
  </si>
  <si>
    <t>36000 - Business Services Administration</t>
  </si>
  <si>
    <t>37000 - Facilities: Office of the Chief Facilities Officer</t>
  </si>
  <si>
    <t>Ally Sullivan</t>
  </si>
  <si>
    <t>38000 - Human Resources: Office of the Chief Human Resources Officer</t>
  </si>
  <si>
    <t>39000 - Office of Chief Public Safety Officer</t>
  </si>
  <si>
    <t>Dawn Radford</t>
  </si>
  <si>
    <t>40000 - Athletics: Office of the Vice Chancellor</t>
  </si>
  <si>
    <t>Phillip Brown</t>
  </si>
  <si>
    <t>Athletics</t>
  </si>
  <si>
    <t>40800 - Vanderbilt Recreation and Wellness Center</t>
  </si>
  <si>
    <t>41000 - Communications: Office of the Vice Chancellor</t>
  </si>
  <si>
    <t>Catherine Kozak</t>
  </si>
  <si>
    <t>Communications</t>
  </si>
  <si>
    <t>42000 - Dev and Alumni Relations: Office of Vice Chancellor</t>
  </si>
  <si>
    <t>Gena Cobble</t>
  </si>
  <si>
    <t>Development and Alumni Relations</t>
  </si>
  <si>
    <t>43000 - Equity, Diversity, and Inclusion: Office of the Vice Chancellor</t>
  </si>
  <si>
    <t>Equity, Diversity, and Inclusion</t>
  </si>
  <si>
    <t>44000 - Finance: Office of the Vice Chancellor</t>
  </si>
  <si>
    <t>Lindsay Burgener</t>
  </si>
  <si>
    <t>Finance</t>
  </si>
  <si>
    <t>45000 - General Counsel: Office of the Vice Chancellor</t>
  </si>
  <si>
    <t>General Counsel</t>
  </si>
  <si>
    <t>46000 - IT: Office of the Vice Chancellor</t>
  </si>
  <si>
    <t>Heather Slagell</t>
  </si>
  <si>
    <t>VUIT</t>
  </si>
  <si>
    <t>47000 - Audit, Risk, and Advisory Services</t>
  </si>
  <si>
    <t>Bruce Weisman</t>
  </si>
  <si>
    <t>Audit, Risk, and Advisory</t>
  </si>
  <si>
    <t>48000 - Investments: Office of the Vice Chancellor</t>
  </si>
  <si>
    <t>Investments</t>
  </si>
  <si>
    <t>49000 - Government and Community Relations: Office of the Vice Chancellor</t>
  </si>
  <si>
    <t>Alex Shea</t>
  </si>
  <si>
    <t>Government &amp; Community Relations</t>
  </si>
  <si>
    <t>63000 - Campus Initiatives</t>
  </si>
  <si>
    <t>In the Program?</t>
  </si>
  <si>
    <t>No</t>
  </si>
  <si>
    <t>Yes</t>
  </si>
  <si>
    <t>Rachel Hansbrough</t>
  </si>
  <si>
    <t>Lizzie Shilliam</t>
  </si>
  <si>
    <t>Bart Bunk</t>
  </si>
  <si>
    <t>Kirk Stonecipher</t>
  </si>
  <si>
    <t>School</t>
  </si>
  <si>
    <t>Project</t>
  </si>
  <si>
    <t>Contribution</t>
  </si>
  <si>
    <t>Capital</t>
  </si>
  <si>
    <t>Operating</t>
  </si>
  <si>
    <t>1. Review the proposed project list (attached) which now includes descriptions and capital versus operating designations.</t>
  </si>
  <si>
    <t>2. Review procedures for shared buildings (ex: MRB III).</t>
  </si>
  <si>
    <t>a. Facilities proposes that the majority / primary building owner bears the expense and receives the funds transfer.</t>
  </si>
  <si>
    <t>3. Review procedures for operating expense facility renewal projects.</t>
  </si>
  <si>
    <t>4. Discuss with Finance if we need to make any preparations to be set up for the funds transfers on July 1 from the schools to the Facility Renewal Program (FRP program code)</t>
  </si>
  <si>
    <t xml:space="preserve">a. Facilities proposes that the building owner bears the expense and receives the funds transfer. </t>
  </si>
  <si>
    <t>a. Per Kristy Stone the initial set of transfers will be a journal entry prepared by Facilities, approvals by each individual CBO are not required.</t>
  </si>
  <si>
    <t>b. Schools should consider creating a unique intersection (program and/or activity) code to track opex project expenses discretly in Oracle. Account code 6405 will typically be used.</t>
  </si>
  <si>
    <t>GSF</t>
  </si>
  <si>
    <t>Design</t>
  </si>
  <si>
    <t>Construction</t>
  </si>
  <si>
    <t>CP_400056</t>
  </si>
  <si>
    <t>CP_400108</t>
  </si>
  <si>
    <t>CP_400024</t>
  </si>
  <si>
    <t>Jesup - Roof Replacement</t>
  </si>
  <si>
    <t>CP_400127</t>
  </si>
  <si>
    <t>Wyatt Center - VAV Replacement</t>
  </si>
  <si>
    <t>One Magnolia Circle - Modify/Upgrade Electrical and Grounding</t>
  </si>
  <si>
    <t>CP_400023</t>
  </si>
  <si>
    <t>Benson Old Central - Replace Soffit and Doors</t>
  </si>
  <si>
    <t xml:space="preserve">Last updated: </t>
  </si>
  <si>
    <t>Projects</t>
  </si>
  <si>
    <t>Building</t>
  </si>
  <si>
    <t>Row Labels</t>
  </si>
  <si>
    <t>Grand Total</t>
  </si>
  <si>
    <t>Approved_Budget</t>
  </si>
  <si>
    <t>Projects in MRBIII to be split 65% School of Medicine Basic Sciences / 35% Arts &amp; Sciences</t>
  </si>
  <si>
    <t>Estimated Budget</t>
  </si>
  <si>
    <t>A&amp;S</t>
  </si>
  <si>
    <t>SOM</t>
  </si>
  <si>
    <t>MRB III Adj</t>
  </si>
  <si>
    <t>Remaining funds</t>
  </si>
  <si>
    <t>Funding transfers</t>
  </si>
  <si>
    <t>eBuilder</t>
  </si>
  <si>
    <t>AiM</t>
  </si>
  <si>
    <t>Oracle</t>
  </si>
  <si>
    <t>Phase</t>
  </si>
  <si>
    <t>Manager</t>
  </si>
  <si>
    <t>Approved budget</t>
  </si>
  <si>
    <t>Approved commitments</t>
  </si>
  <si>
    <t>Projected commitments</t>
  </si>
  <si>
    <t>Estimated total budget</t>
  </si>
  <si>
    <t>crowhus_07272022_FRP</t>
  </si>
  <si>
    <t>50% covered by School of Law</t>
  </si>
  <si>
    <t>Balance</t>
  </si>
  <si>
    <t>FY22 invoices covered by Peabody</t>
  </si>
  <si>
    <t>tbd</t>
  </si>
  <si>
    <t>BAC-1</t>
  </si>
  <si>
    <t>Completed journal entries</t>
  </si>
  <si>
    <t>crowhus_07262022_FRP</t>
  </si>
  <si>
    <t>Sources</t>
  </si>
  <si>
    <t>Uses</t>
  </si>
  <si>
    <t>Total Uses</t>
  </si>
  <si>
    <t>Total sources</t>
  </si>
  <si>
    <t>BAC-3</t>
  </si>
  <si>
    <t>MRB III BIO/SCI</t>
  </si>
  <si>
    <t>BENSON OLD CENTRAL</t>
  </si>
  <si>
    <t>Ben Bedock</t>
  </si>
  <si>
    <t>BLAIR SCHOOL OF MUSIC</t>
  </si>
  <si>
    <t>Hans Mooy</t>
  </si>
  <si>
    <t>DIVINITY</t>
  </si>
  <si>
    <t>JESUP PSYCHOLOGY</t>
  </si>
  <si>
    <t>17100 - Law: Business Affairs</t>
  </si>
  <si>
    <t>Bob Grummon</t>
  </si>
  <si>
    <t>Sean Rewers</t>
  </si>
  <si>
    <t>PEABODY ADMINISTRATION</t>
  </si>
  <si>
    <t>CP_400151</t>
  </si>
  <si>
    <t>SC CHEMISTRY</t>
  </si>
  <si>
    <t>WYATT CENTER</t>
  </si>
  <si>
    <t>KECK FREE ELECTRON LASER CTR</t>
  </si>
  <si>
    <t>Keck FEL - Mechanical Upgrades</t>
  </si>
  <si>
    <t>1025 16TH AVE S</t>
  </si>
  <si>
    <t>1025 16th Avenue - Mechanical and Electrical Upgrades</t>
  </si>
  <si>
    <t>CP_400154</t>
  </si>
  <si>
    <t>crowhus_08312022_FRP</t>
  </si>
  <si>
    <t>Project Description</t>
  </si>
  <si>
    <t>(1)</t>
  </si>
  <si>
    <t>(2)</t>
  </si>
  <si>
    <t>BAC-6</t>
  </si>
  <si>
    <t>CP_400160</t>
  </si>
  <si>
    <t>BAC-5</t>
  </si>
  <si>
    <t>crowhus_09302022_FRP</t>
  </si>
  <si>
    <t>CP_400025</t>
  </si>
  <si>
    <t>19100 - Nursing: Business Affairs</t>
  </si>
  <si>
    <t>Award</t>
  </si>
  <si>
    <t>FRP</t>
  </si>
  <si>
    <t>DOS</t>
  </si>
  <si>
    <t>FY22 invoices covered by Divinity</t>
  </si>
  <si>
    <t>design to be covered by Dean of Students (DOS) BAC-5 and BAC-6</t>
  </si>
  <si>
    <t>Project status update</t>
  </si>
  <si>
    <t>SC Chemistry (SC7) - Elevator 1 &amp; 2 Modernization</t>
  </si>
  <si>
    <t>Wyatt Center - Roof Replacement</t>
  </si>
  <si>
    <t>MRB III - Steam Coil Replacement</t>
  </si>
  <si>
    <t>Blair School of Music - Elevator #3 Modernization</t>
  </si>
  <si>
    <t>CP_400163</t>
  </si>
  <si>
    <t xml:space="preserve">--this worksheet is used to allocate FRP costs for shared buildings to applicable schools. </t>
  </si>
  <si>
    <t>Summary</t>
  </si>
  <si>
    <t>Arts &amp; Science</t>
  </si>
  <si>
    <t>Owen</t>
  </si>
  <si>
    <t>Blair</t>
  </si>
  <si>
    <t>Divinity</t>
  </si>
  <si>
    <t>Engineering</t>
  </si>
  <si>
    <t>Law</t>
  </si>
  <si>
    <t>Peabody</t>
  </si>
  <si>
    <t>Lookup</t>
  </si>
  <si>
    <t>Facility Renewal Program: Interactive Pivot Table</t>
  </si>
  <si>
    <t>WILSON HALL</t>
  </si>
  <si>
    <t>SC SCIENCE &amp; ENGINEERING</t>
  </si>
  <si>
    <t>Anticipated spend</t>
  </si>
  <si>
    <t>CP_400165</t>
  </si>
  <si>
    <t>Wyatt Center - Elevator #2 Modernization</t>
  </si>
  <si>
    <t>CP_400168</t>
  </si>
  <si>
    <t>BAC-2</t>
  </si>
  <si>
    <t>crowhus_10312022_FRP</t>
  </si>
  <si>
    <t>TBD</t>
  </si>
  <si>
    <t>CP_400164</t>
  </si>
  <si>
    <t>Wilson Hall - Fire Alarm Replacement</t>
  </si>
  <si>
    <t>FY22 invoices covered by VUSN</t>
  </si>
  <si>
    <t>CP_400171</t>
  </si>
  <si>
    <t>BAC-8</t>
  </si>
  <si>
    <t>Projects to be discussed</t>
  </si>
  <si>
    <t>Invoices Approved</t>
  </si>
  <si>
    <t>Estimated 
Total Budget</t>
  </si>
  <si>
    <t>crowhus_11302022_FRP</t>
  </si>
  <si>
    <t>to be covered by Dean of Students (DOS) BAC-8</t>
  </si>
  <si>
    <t>CP_400175</t>
  </si>
  <si>
    <t>Capex / Opex</t>
  </si>
  <si>
    <t>CP_400178</t>
  </si>
  <si>
    <t>crowhus_12312022_FRP</t>
  </si>
  <si>
    <t>CP_400182</t>
  </si>
  <si>
    <t>Bryan Building - Swing Space Renovation - A&amp;S Planning</t>
  </si>
  <si>
    <t>Cathy Bartlett</t>
  </si>
  <si>
    <t>CP_400183</t>
  </si>
  <si>
    <t>CP_400185</t>
  </si>
  <si>
    <t>crowhus_01312023_FRP</t>
  </si>
  <si>
    <t xml:space="preserve">design to be covered by A&amp;S </t>
  </si>
  <si>
    <t>Wyatt Center - Window Replacement</t>
  </si>
  <si>
    <t>OWEN GRAD MGMT</t>
  </si>
  <si>
    <t>BRYAN BLDG</t>
  </si>
  <si>
    <t>Contribution vs. FY23 FRP funding</t>
  </si>
  <si>
    <t>Contribution vs. FY24 FRP funding</t>
  </si>
  <si>
    <t>FY23 
Contribution</t>
  </si>
  <si>
    <t>FY24 
Contribution</t>
  </si>
  <si>
    <t>CP_400187</t>
  </si>
  <si>
    <t>crowhus_02282023_FRP</t>
  </si>
  <si>
    <t>Transferred</t>
  </si>
  <si>
    <t>Remaining</t>
  </si>
  <si>
    <t>Owen - Roof Replacement (Third Level)</t>
  </si>
  <si>
    <t>CP_400192</t>
  </si>
  <si>
    <t>CP_400174</t>
  </si>
  <si>
    <t>BUTTRICK HALL</t>
  </si>
  <si>
    <t>Buttrick Hall - 3rd Floor Inequality Renovations</t>
  </si>
  <si>
    <t>Erin Fry</t>
  </si>
  <si>
    <t>SIX MAGNOLIA CIRCLE</t>
  </si>
  <si>
    <t>Six Magnolia Circle - Foundation Repairs</t>
  </si>
  <si>
    <t>Not Started</t>
  </si>
  <si>
    <t>SC4 - Interstitial Space HVAC Modifications</t>
  </si>
  <si>
    <t>Financial Closeout</t>
  </si>
  <si>
    <t>03/22/2023 Project is in closeout.</t>
  </si>
  <si>
    <t>Total transfers from FRP cash</t>
  </si>
  <si>
    <t>crowhus_03312023_FRP</t>
  </si>
  <si>
    <t>CP_400198</t>
  </si>
  <si>
    <t>Keck FEL - Roof Replacement</t>
  </si>
  <si>
    <t>Project Status'!A1</t>
  </si>
  <si>
    <t>JE LOG_FY23'!A1</t>
  </si>
  <si>
    <t>crowhus_04302023_FRP</t>
  </si>
  <si>
    <t>Law School - Fire Alarm System Replacement</t>
  </si>
  <si>
    <t>LAW SCHOOL</t>
  </si>
  <si>
    <t>Law School - Sections 1, 2, &amp; 3  Roof Replacement</t>
  </si>
  <si>
    <t>BAC-3 (partial)</t>
  </si>
  <si>
    <t>crowhus_05312023_FRP</t>
  </si>
  <si>
    <t>Peabody Administration - Envelope Repairs</t>
  </si>
  <si>
    <t>VAV controls only</t>
  </si>
  <si>
    <t>CP_400206</t>
  </si>
  <si>
    <t xml:space="preserve">work to be covered by A&amp;S </t>
  </si>
  <si>
    <t>FY 2023</t>
  </si>
  <si>
    <t>FRP Funding</t>
  </si>
  <si>
    <t>Estimated</t>
  </si>
  <si>
    <t>FY 2024</t>
  </si>
  <si>
    <t>FRP Collection</t>
  </si>
  <si>
    <t>FY 2025</t>
  </si>
  <si>
    <t>General guidance regarding the facility renewal program</t>
  </si>
  <si>
    <t xml:space="preserve">In general, any required facility renewal scope should be included in remodel project budgets. </t>
  </si>
  <si>
    <t>In these cases, the project manager needs to work with BOC Finance and the appropriate CBO as soon as possible to discuss project timing.</t>
  </si>
  <si>
    <t>MRB III - 4th Floor - Replace Controls (Phase 2)</t>
  </si>
  <si>
    <t>Warranty or Construction Closeout</t>
  </si>
  <si>
    <t>MRB III - 9th Floor (with 4 ,5 &amp; 8) - Replace Controls (Phase 3)</t>
  </si>
  <si>
    <t>In other words, FRP funds will not be used to augment remodel project budgets.</t>
  </si>
  <si>
    <t>Capital projects impact a school's balance sheet and generally span multiple fiscal years.</t>
  </si>
  <si>
    <t xml:space="preserve">Operating projects impact a school's income statement, which is reported on quarterly through variance reporting. </t>
  </si>
  <si>
    <t>Occasionally, facility renewal projects by nature of their scope and / or cost will not meet the capitalization threshold.</t>
  </si>
  <si>
    <t>Due to the timing of when fiscal year budgets are approved, opex facility renewal project(s) may not be included in the school's budget.</t>
  </si>
  <si>
    <t>When this is the case, the school will need to explain the negative impact of the opex facility renewal project(s) on their income statement.</t>
  </si>
  <si>
    <t>Final costs</t>
  </si>
  <si>
    <t>crowhus_06302023_FRP</t>
  </si>
  <si>
    <t>FX2-1</t>
  </si>
  <si>
    <t>FY24 FRP Transferred</t>
  </si>
  <si>
    <t>FY23</t>
  </si>
  <si>
    <t>FY24</t>
  </si>
  <si>
    <t>FY23 FRP</t>
  </si>
  <si>
    <t xml:space="preserve">FY23 FRP funding </t>
  </si>
  <si>
    <t>JE LOG_FY24'!A1</t>
  </si>
  <si>
    <t>crowhus_08072023_FRP</t>
  </si>
  <si>
    <t>Wilson Hall - HVAC Replacement</t>
  </si>
  <si>
    <t>Finalized</t>
  </si>
  <si>
    <t>07/24/2023 Project is complete. I will begin closeout after taking some final photos of the space.</t>
  </si>
  <si>
    <t>crowhus_08082023_FRP</t>
  </si>
  <si>
    <t>Journal entries to be processed next</t>
  </si>
  <si>
    <t>SC PHYSICS &amp; ASTRONOMY</t>
  </si>
  <si>
    <t>SC6 - HVAC Upgrades - Feasibility Study</t>
  </si>
  <si>
    <t>Jay Surprenant</t>
  </si>
  <si>
    <t>08/22/2023 project complete</t>
  </si>
  <si>
    <t>BAC-4</t>
  </si>
  <si>
    <t>crowhus_09302023_FRP</t>
  </si>
  <si>
    <t>BAC-10</t>
  </si>
  <si>
    <t>All funded by Divinity- split will resume on project 20489- Divinity AHU 1N</t>
  </si>
  <si>
    <t>09/22/2023 Project complete.  Financial closeout process to begin after confirmation that all invoices have been submitted, approved and cleared.</t>
  </si>
  <si>
    <t>FY23 FRP 
Funding</t>
  </si>
  <si>
    <t>Check</t>
  </si>
  <si>
    <t>FY26 FRP Estimated</t>
  </si>
  <si>
    <t>FY 2026</t>
  </si>
  <si>
    <t>One Magnolia Circle - Elevator Modernization</t>
  </si>
  <si>
    <t>ONE MAGNOLIA CIRCLE</t>
  </si>
  <si>
    <t>CP_400227</t>
  </si>
  <si>
    <t>crowhus_10312023_FRP</t>
  </si>
  <si>
    <t>GODCHAUX HALL</t>
  </si>
  <si>
    <t>Divinity Air Handling Unit Replacement, (5/6)- Phase 1</t>
  </si>
  <si>
    <t>SC-7 Chemistry - SG-1 Removal and Connection to Central Plant Steam</t>
  </si>
  <si>
    <t>SC-5 - Chemical Discharge Replacement</t>
  </si>
  <si>
    <t>10/23/2023 Project complete.  Waiting on final invoice to clear to begin the financial closeout process.</t>
  </si>
  <si>
    <t>DB:</t>
  </si>
  <si>
    <t>CR:</t>
  </si>
  <si>
    <t>Law School - Exterior Window Painting</t>
  </si>
  <si>
    <t>OGSM Old Mechanical- Slate Roof &amp; Window Replacement</t>
  </si>
  <si>
    <t>BIOMOLECULAR NMR</t>
  </si>
  <si>
    <t>11/22/2023 Project complete.  Waiting on final invoice to clear to begin the financial closeout process.</t>
  </si>
  <si>
    <t>11/27/2023 Project is in closeout</t>
  </si>
  <si>
    <t>NMR - Replace Air Compressors</t>
  </si>
  <si>
    <t>crowhus_12192023_FRP</t>
  </si>
  <si>
    <t>`</t>
  </si>
  <si>
    <t>crowhus_01302024_FRP</t>
  </si>
  <si>
    <t>SEIGENTHALER CENTER</t>
  </si>
  <si>
    <t>Buttrick Hall - Elevator Upgrades</t>
  </si>
  <si>
    <t>Benson Hall - Elevator Upgrades</t>
  </si>
  <si>
    <t>Wilson Hall - Elevator Upgrades</t>
  </si>
  <si>
    <t>01/22/2024 Project complete.  Waiting on final invoice to clear to begin the financial closeout process.</t>
  </si>
  <si>
    <t>01/22/2024 Project is in closeout</t>
  </si>
  <si>
    <t>01/22/2024 Project is complete.  Waiting on final invoice to clear to begin the closeout process.</t>
  </si>
  <si>
    <t>12/18/2023 Project complete.  Waiting on final invoice to clear to begin the financial closeout process.</t>
  </si>
  <si>
    <t>12/18/2023 Construction complete.  Waiting on final invoices to clear to begin the closeout process.</t>
  </si>
  <si>
    <t>01/30/2024 Project is in closeout. Study was completed and findings were shared with Provost and A&amp;S. Due to the large scale renovations needed to the building this project will require further planning and cannot be priced our accurately. A&amp;S will present the findings to their dean for further guidance on how to tackle the buildings issues.</t>
  </si>
  <si>
    <t>01/22/2024 Project study and estimated pricing is complete. Project in closeout.</t>
  </si>
  <si>
    <t>Unallocated Reserve</t>
  </si>
  <si>
    <t>FY24 subtotal</t>
  </si>
  <si>
    <t>Other</t>
  </si>
  <si>
    <t>Contribution vs. Funded</t>
  </si>
  <si>
    <t>crowhus_02292024_FRP</t>
  </si>
  <si>
    <t>CP_400235</t>
  </si>
  <si>
    <t>FRIST HALL</t>
  </si>
  <si>
    <t>Frist Hall - Stairwell Roof Replacement</t>
  </si>
  <si>
    <t>Programming or Planning</t>
  </si>
  <si>
    <t>Blair School of Music - AHU 2/3 Replacement  - Phase 2 - FY26</t>
  </si>
  <si>
    <t>Wilson Hall - Lighting Retrofit for 103 and 126</t>
  </si>
  <si>
    <t>1025 16th Avenue - Security System Replacement</t>
  </si>
  <si>
    <t>02/26/2024 Punchlist items have been discussed with the contractor.  Once items are completed, project is ready to closeout.</t>
  </si>
  <si>
    <t>02/23/2024 Construction complete. Library Closeout process complete. The Financial closeout process has been started.</t>
  </si>
  <si>
    <t>FX</t>
  </si>
  <si>
    <t>prior year</t>
  </si>
  <si>
    <t>carryforward</t>
  </si>
  <si>
    <t>Seigenthaler Building - HVAC Improvements</t>
  </si>
  <si>
    <t>CP_400242</t>
  </si>
  <si>
    <t>crowhus_03312024_FRP</t>
  </si>
  <si>
    <t>One Magnolia Circle - Retaining Wall Repair</t>
  </si>
  <si>
    <t>FURMAN HALL</t>
  </si>
  <si>
    <t>Furman Hall - Elevator Modernization</t>
  </si>
  <si>
    <t>CP_400224</t>
  </si>
  <si>
    <t>10000 - Chancellor</t>
  </si>
  <si>
    <t>Divinity Air Handling Unit Replacement,(1/3) - Phase 2 with Benton - FY26</t>
  </si>
  <si>
    <t>Blair School of Music - Steam Line - FY 23</t>
  </si>
  <si>
    <t>crowhus_04302024_FRP</t>
  </si>
  <si>
    <t>Original budget (BAC-1) for $2,640 set up as a Facilities capital project, owning org 37000. It has been determined this is an FRP project and will be assigned to Peabody. Owning org has been updated in Oracle.</t>
  </si>
  <si>
    <t>Vaughn Home - Roof Replacement</t>
  </si>
  <si>
    <t>CP_400251</t>
  </si>
  <si>
    <t>VAUGHN HOME</t>
  </si>
  <si>
    <t>04/24/2024 Project is in closeout</t>
  </si>
  <si>
    <t>CP_400263</t>
  </si>
  <si>
    <t>CP_400256</t>
  </si>
  <si>
    <t>Vaughn Home - Exterior Improvements</t>
  </si>
  <si>
    <t>1025 16th Avenue - Roof Replacement</t>
  </si>
  <si>
    <t>Law School - Elevator 1 Modernization</t>
  </si>
  <si>
    <t>crowhus_05312024_FRP</t>
  </si>
  <si>
    <t>CP_400270</t>
  </si>
  <si>
    <t>crowhus_06302024_FRP</t>
  </si>
  <si>
    <t>FY25 FRP Transferred</t>
  </si>
  <si>
    <t>JE LOG_FY25'!A1</t>
  </si>
  <si>
    <t xml:space="preserve">FY24 FRP funding </t>
  </si>
  <si>
    <t>FY24 FRP</t>
  </si>
  <si>
    <t>FY25 
Contribution</t>
  </si>
  <si>
    <t>FY25</t>
  </si>
  <si>
    <t>FY25 FRP</t>
  </si>
  <si>
    <t>Contribution vs. FY25 FRP funding</t>
  </si>
  <si>
    <t xml:space="preserve">FY23 Funded 
Projects </t>
  </si>
  <si>
    <t>FY24 Funded Projects</t>
  </si>
  <si>
    <t>FY24 FRP Funding</t>
  </si>
  <si>
    <t>FY25 FRP Funding</t>
  </si>
  <si>
    <t>crowhus_07312024_FRP</t>
  </si>
  <si>
    <t>Godchaux Hall - HVAC Upgrade</t>
  </si>
  <si>
    <t>1025 16TH AVE GARAGE</t>
  </si>
  <si>
    <t>1025 16th Avenue - Patio Repairs</t>
  </si>
  <si>
    <t>SC5 - HVAC Replacement (Design Services)</t>
  </si>
  <si>
    <t>Wilson Hall - 1st Floor Urinal Replacement</t>
  </si>
  <si>
    <t>SC5 - HVAC Upgrade Floors 1 and 2 (Phase 1)</t>
  </si>
  <si>
    <t>SC5 - HVAC Upgrade Floors 4, 5, and 7 (Phase 2)</t>
  </si>
  <si>
    <t>SC5 - HVAC Upgrade Floors 3 and 6 (Phase 3)</t>
  </si>
  <si>
    <t>SC5 - HVAC Upgrade Floors 8 and 9 (Phase 4)</t>
  </si>
  <si>
    <t>FEATHERINGILL-JACOBS HALL</t>
  </si>
  <si>
    <t>07/29/2024 work is complete</t>
  </si>
  <si>
    <t>On hold per FRP 07/24/2024 until summer of 2026</t>
  </si>
  <si>
    <t>crowhus_08312024_FRP</t>
  </si>
  <si>
    <t>Blair School of Music - AHU - 1 Replacement - Phase 1 - FY25</t>
  </si>
  <si>
    <t>09/26/2024 Project is in library closeout. Will complete financial closeout after.</t>
  </si>
  <si>
    <t>crowhus_09302024_FRP</t>
  </si>
  <si>
    <t>12100 - Arts and Science: Business Affairs</t>
  </si>
  <si>
    <t>crowhus_10312024_FRP</t>
  </si>
  <si>
    <t>CP_400282</t>
  </si>
  <si>
    <t>CP_400291</t>
  </si>
  <si>
    <t>11/25/2024 Project in FX</t>
  </si>
  <si>
    <t>04/23/2024 Project is complete.</t>
  </si>
  <si>
    <t>08/23/2024 VUMO is managing this project.  CPC is helping with the PO/financial process.</t>
  </si>
  <si>
    <t>11/26/2024 Construction is complete.  Waiting on the final invoice to begin the closeout process.</t>
  </si>
  <si>
    <t>11/25/2024 We are awaiting TAB and other reports from Nashville Machine, then we will put into FX.</t>
  </si>
  <si>
    <t>09/24/2024 This is FY 26 project.   No updates to provide yet.  Project not started.</t>
  </si>
  <si>
    <t>09/24/2024 Project not started.  this is an FY28 project.</t>
  </si>
  <si>
    <t>09/24/2024 Project not started.  This is an FY29 project.</t>
  </si>
  <si>
    <t>crowhus_12312024_FRP</t>
  </si>
  <si>
    <t>eB #</t>
  </si>
  <si>
    <t>crowhus_01312025_FRP</t>
  </si>
  <si>
    <t>SC MOLEC BIOLOGY</t>
  </si>
  <si>
    <t>SC2 - MEP Feasibility Study</t>
  </si>
  <si>
    <t>Active</t>
  </si>
  <si>
    <t>Buttrick Hall - Insulate First Floor Slab</t>
  </si>
  <si>
    <t>OLIN HALL</t>
  </si>
  <si>
    <t>Olin Hall - Exterior Facade Cleaning</t>
  </si>
  <si>
    <t>SC MATH</t>
  </si>
  <si>
    <t>SC1 - MEP Feasibility Study</t>
  </si>
  <si>
    <t>Godchaux Hall - Replace Fire Pump</t>
  </si>
  <si>
    <t>1025 16th Avenue - Electrical and HVAC Study</t>
  </si>
  <si>
    <t>MRBIII - Lecture Hall V1220 Lighting Upgrade</t>
  </si>
  <si>
    <t>MRBIII - Chemical Discharge Tank Replacement</t>
  </si>
  <si>
    <t>Project Status</t>
  </si>
  <si>
    <t>Complete</t>
  </si>
  <si>
    <t>Deferred / On Hold</t>
  </si>
  <si>
    <t>Featheringill-Jacobs Hall - Hot Water Tank Replacement</t>
  </si>
  <si>
    <t>CP_400312</t>
  </si>
  <si>
    <t>CP_400314</t>
  </si>
  <si>
    <t>CP_400311</t>
  </si>
  <si>
    <t>CP_400313</t>
  </si>
  <si>
    <t>crowhus_02282025_FRP</t>
  </si>
  <si>
    <t>MRBIII - Cooling Tower Overhaul</t>
  </si>
  <si>
    <t>03/25/2025 Construction complete and inspection passed.  Waiting on invoices to clear to begin the closeout process.</t>
  </si>
  <si>
    <t>crowhus_03312025_FRP</t>
  </si>
  <si>
    <t>crowhus_04302025_FRP</t>
  </si>
  <si>
    <t>04/23/2025 Awaiting final invoice to clear to begin the close out process</t>
  </si>
  <si>
    <t>04/23/2025 Project is complete.  Waiting on final invoices to clear to begin the closeout process.</t>
  </si>
  <si>
    <t>04/29/2025 Project in closeout</t>
  </si>
  <si>
    <t>crowhus_05312025_FRP</t>
  </si>
  <si>
    <t>CP_400326</t>
  </si>
  <si>
    <t>CP_400330</t>
  </si>
  <si>
    <t>Kylie Mignoli</t>
  </si>
  <si>
    <t>Law School - Roof Ladders</t>
  </si>
  <si>
    <t>05/22/2025 Project complete.</t>
  </si>
  <si>
    <t>05/22/2025 Construction complete and inspection passed.  Invoices are cleared.  Financial closeout process has started.</t>
  </si>
  <si>
    <t>05/22/2025 Project complete...</t>
  </si>
  <si>
    <t>05/23/2025 New disconnect is installed, with conduit and wire ran back to the elec. room. UO scheduled for June 3 which will likely be last piece of the project. Old HX demo is complete, and the new water heater was placed into the Basement 5/21. Piping work is ongoing.</t>
  </si>
  <si>
    <t>05/28/2025 Scheduled for early June completion.</t>
  </si>
  <si>
    <t>FY 2027</t>
  </si>
  <si>
    <t>FY 2028</t>
  </si>
  <si>
    <t>FY 2029</t>
  </si>
  <si>
    <t>FY 2030</t>
  </si>
  <si>
    <t>FY 2031</t>
  </si>
  <si>
    <t>Benson Old Central (16)</t>
  </si>
  <si>
    <t>17Th &amp; Horton (557)</t>
  </si>
  <si>
    <t>Buttrick Hall (24)</t>
  </si>
  <si>
    <t>Furman Hall (15)</t>
  </si>
  <si>
    <t>Law School (13)</t>
  </si>
  <si>
    <t>Sc Molec Biology (Sc2)</t>
  </si>
  <si>
    <t>Wilson Hall (125)</t>
  </si>
  <si>
    <t>Divinity (19)</t>
  </si>
  <si>
    <t>Reading Room (124) Roof - Replace existing roof;</t>
  </si>
  <si>
    <t>Engineering effort to determine best solution for MEP upgrades</t>
  </si>
  <si>
    <t>Godchaux Hall (22)</t>
  </si>
  <si>
    <t>Remove and replace 5th and 6th floor roofs. Include area used as patio on the 6th floor (5th floor roof)</t>
  </si>
  <si>
    <t>Phase 2 of 3: Replace (50) Induction/VAV boxes - entire building</t>
  </si>
  <si>
    <t>Sc Science &amp; Engineering (Sc5)</t>
  </si>
  <si>
    <t>Phase 2 of 4: Floors 4, 5 and 7; Replace all room induction/FCU units and fume hood controllers</t>
  </si>
  <si>
    <t>Eliminate Steam station in South basement equipment room; Connect to central utilities hot water loop</t>
  </si>
  <si>
    <t>Engineering effort resulting in construction documents for replacement of electrical service and replacement of the fire alarm.</t>
  </si>
  <si>
    <t>Blair School Of Music (135)</t>
  </si>
  <si>
    <t>Elevator 2 Modernization</t>
  </si>
  <si>
    <t>Calhoun Hall (17)</t>
  </si>
  <si>
    <t>Engineering effort to determine best solution for replacement of AHU-1 and AHU-2</t>
  </si>
  <si>
    <t>Frist Hall (239)</t>
  </si>
  <si>
    <t>Complete replacement of Fire alarm panel and devices</t>
  </si>
  <si>
    <t>AHU-2: Complete replacement of Air Handling Unit including associated piping, valves and controls</t>
  </si>
  <si>
    <t>Phase 3:  Replacement of FCUs from 5th floor down through the Basement. (Includes integration of new FCUs into the BAS system)</t>
  </si>
  <si>
    <t>Hobbs Hdl (160)</t>
  </si>
  <si>
    <t>Dock lift Elevator Complete modernization (Controls, fixtures, door equipment, power unit, car enclosure, etc.)</t>
  </si>
  <si>
    <t>Keck Free Electron Laser Ctr (186)</t>
  </si>
  <si>
    <t>Freight Elevator (#2) Modernization</t>
  </si>
  <si>
    <t>North West Side 2nd floor entrance; Remove and replace existing patio stone with poured concrete</t>
  </si>
  <si>
    <t>Mrb Iii Bio/Sci (23C)</t>
  </si>
  <si>
    <t>Phase 5 of 9: 7th Floor Phoenix Controls hardware replacement for lab fume hoods</t>
  </si>
  <si>
    <t>Peabody Administration (138)</t>
  </si>
  <si>
    <t>Elevator 1; Complete modernization (Controls, fixtures, door equipment, power unit, etc.)</t>
  </si>
  <si>
    <t>Sc Chemistry (Sc7)</t>
  </si>
  <si>
    <t>Feasibility Study / Engineering Study to determine best HVAC replacement solution for the 4 main AHUs; Budget: $100k; Project should result in conceptual design including project phasing and conceptual budget.</t>
  </si>
  <si>
    <t>Sc Math (Sc1)</t>
  </si>
  <si>
    <t>Phase 3 of 3: Replace (50) Induction/VAV boxes - entire building</t>
  </si>
  <si>
    <t>HVAC retro commission to determine scope and funding needed to address HVAC calls throughout the building.</t>
  </si>
  <si>
    <t>Placeholder project to replace AHU-1/AHU-2 resulting from the engineering effort (project 8262)</t>
  </si>
  <si>
    <t>Replace existing instantaneous water heater</t>
  </si>
  <si>
    <t>Elevator modernization-Complete modernization (Controls, fixtures, door equipment, power unit, etc.)</t>
  </si>
  <si>
    <t>Godchaux Nursing Annex (131)</t>
  </si>
  <si>
    <t>AC-3 and Return fan; Refurbish existing equipment with new pan liners, coil, fan wall assembly, remove and replace existing controls</t>
  </si>
  <si>
    <t>Elevator 2; Complete modernization (Controls, fixtures, door equipment, power unit, etc.)</t>
  </si>
  <si>
    <t>Feasibility Study / Engineering effort to determine scope, construction documents and budget pricing for replacement of Air Handling Units and VAV Boxes.</t>
  </si>
  <si>
    <t>Phase 6 of 9: 6th Floor Phoenix Controls hardware replacement for lab fume hoods</t>
  </si>
  <si>
    <t>Replace 10 existing FCUs throughout the building and 1 existing RTU (DOAS) unit on the roof and existing exhaust fan.</t>
  </si>
  <si>
    <t>Phase 1 of 5 - Floor 9 - Upgrade fume hood controllers, HVAC distribution boxes and controls</t>
  </si>
  <si>
    <t>Remove and replace one (1) existing exhaust fan (EF-VA-1) for laboratory</t>
  </si>
  <si>
    <t>Remove and replace one (1) existing fans for bathroom exhaust</t>
  </si>
  <si>
    <t>Replace all fan coils in all applicable rooms.</t>
  </si>
  <si>
    <t>AHU 2-3: Replace AHU including all associated piping, valves and controls (1st Floor Unit)</t>
  </si>
  <si>
    <t>Phase 4 of 4: Floors 8 and 9; Replace all room induction/FCU units and fume hood controllers</t>
  </si>
  <si>
    <t>1025 16Th Ave S (288)</t>
  </si>
  <si>
    <t>Complete replacement of fire panel and devices.</t>
  </si>
  <si>
    <t>AHU-1: Complete replacement of Air Handling Unit including associated piping, valves and controls.</t>
  </si>
  <si>
    <t>Complete system replacement including fire panel and all devices;</t>
  </si>
  <si>
    <t>3rd floor roof over west addition (Section 5) next to 4th floor penthouse; Replace roof</t>
  </si>
  <si>
    <t>4th floor over rehearsal hall, Replace roof; Section 4</t>
  </si>
  <si>
    <t>Roof replacement-2001 addition; West side of building (4th floor penthouse); Section 6</t>
  </si>
  <si>
    <t>Phase 4:  Replacement of Basement AHU (Servicing Basement through 3rd Floor) and Complete needed renovations to Steam/HW plant to accommodate future HW utilities</t>
  </si>
  <si>
    <t>Elevator #3; Complete modernization (Controls, fixtures, door equipment, power unit, etc.)</t>
  </si>
  <si>
    <t>Phase 7 of 9: 5th Floor Phoenix Controls hardware replacement for lab fume hoods</t>
  </si>
  <si>
    <t>Replace electrical switch gear; transformers and electrical panels throughout building; upsize to meet current need</t>
  </si>
  <si>
    <t>Phase 2 of 5 - Floor 8 - Upgrade fume hood controllers, HVAC distribution boxes and controls</t>
  </si>
  <si>
    <t>Wyatt Center (142)</t>
  </si>
  <si>
    <t>Placeholder for HVAC upgrades in the Old side of the building; Replacement of existing Magic Air units and AHU-1Engineering services to determine best solution for replacement of existing Magic Aire FCUs, AHU-1, AHU-3 and AHU-4</t>
  </si>
  <si>
    <t>AHU-2: Complete replacement of Air Handling Unit including associated piping, valves and controls.</t>
  </si>
  <si>
    <t>Phase 1 of 3 - 1st floor; Retrofit existing light fixtures to LED, install lighting controls and replace original VAV boxes including associated controls and control valves.</t>
  </si>
  <si>
    <t>E. Bronson Ingram Studio Arts (268)</t>
  </si>
  <si>
    <t>Replacement of existing controls in VAVs, AHUs and major equipment</t>
  </si>
  <si>
    <t>Upgrade / Add lighting to have more adequate lighting for current building usage.</t>
  </si>
  <si>
    <t>Featheringill-Jacobs Hall (27)</t>
  </si>
  <si>
    <t>Elevator 1 &amp; 2; Complete modernization</t>
  </si>
  <si>
    <t>Elevator #1 modernization</t>
  </si>
  <si>
    <t>Fall Protection; Replace, relocate and install new Fall protection at various locations.</t>
  </si>
  <si>
    <t>Remove and replace roof sections 2, 4, and 6</t>
  </si>
  <si>
    <t>Elevators #1 - #4 Modernization; Cars #1-4 have to be modernized together since they operate as a group. Complete modernization (Controls, fixtures, door equipment, hoist way equipment, machine, etc.)</t>
  </si>
  <si>
    <t>Phase 3 of 5 - Floor 7 - Upgrade fume hood controllers, HVAC distribution boxes and controls</t>
  </si>
  <si>
    <t>Phase 1 of 2 - Replace AHU-3, distribution terminal boxes and controls in each space</t>
  </si>
  <si>
    <t>crowhus_06302025_FRP</t>
  </si>
  <si>
    <t>CALHOUN HALL</t>
  </si>
  <si>
    <t>Calhoun Hall - MEP Feasibility Study</t>
  </si>
  <si>
    <t>Furman Hall - MEP Feasibility Study</t>
  </si>
  <si>
    <t>Law School - MEP Feasibility Study</t>
  </si>
  <si>
    <t>Olin Hall 2nd Floor Chiller</t>
  </si>
  <si>
    <t>Construction Closeout</t>
  </si>
  <si>
    <t>Law School - Electrical Gear Replacement - FY23 FR</t>
  </si>
  <si>
    <t>2/13/23 This project has been placed in a deferred status while we wait for an electrical master plan to be completed. See email in documents folder for more details.</t>
  </si>
  <si>
    <t>06/25/2025 Final walkthrough scheduled for July 3rd with VUMO, envision and Sylvan.</t>
  </si>
  <si>
    <t>06/25/2025 Walkthrough has been completed and all punch items are finished, except sequencing. JCI was contacted to do the work but they are forwarding it to the JCI staff who work at the university. This is the last bit of programming and then project can be closed out.</t>
  </si>
  <si>
    <t>06/24/2025 Project is in closeout</t>
  </si>
  <si>
    <t>Project is deferred to late 2026. We do not currently have funding in A&amp;S for this project.</t>
  </si>
  <si>
    <t>Project is being deferred to late 2026. We do not currently have A&amp;S budget to cover this project.</t>
  </si>
  <si>
    <t>Project is being deferred to FY27, as project start will not be until FY28</t>
  </si>
  <si>
    <t>FY25 Funded Projects</t>
  </si>
  <si>
    <t>FY26 FRP Transferred</t>
  </si>
  <si>
    <t>FY26 FRP Total Contribution</t>
  </si>
  <si>
    <t xml:space="preserve"> FY23 - FY26 Cumulative Contribution</t>
  </si>
  <si>
    <t xml:space="preserve">FY25 FRP funding </t>
  </si>
  <si>
    <t>FY26
Contribution</t>
  </si>
  <si>
    <t xml:space="preserve">FY26 FRP funding </t>
  </si>
  <si>
    <t>FY26 FRP</t>
  </si>
  <si>
    <t>Contribution vs. FY26 FRP funding</t>
  </si>
  <si>
    <t>FY26 FRP Funding</t>
  </si>
  <si>
    <t>eBuilder Proj No</t>
  </si>
  <si>
    <t>FY26 Funded Projects</t>
  </si>
  <si>
    <t>FY26</t>
  </si>
  <si>
    <t>JE LOG_FY26'!A1</t>
  </si>
  <si>
    <t>crowhus_07312025_FRP</t>
  </si>
  <si>
    <t>CP_400337</t>
  </si>
  <si>
    <t>CP_400334</t>
  </si>
  <si>
    <t>CP_400332</t>
  </si>
  <si>
    <t>20100 - Owen: Business Affairs</t>
  </si>
  <si>
    <t>17000 - Law School: Office of the Dean</t>
  </si>
  <si>
    <t>Godchaux Hall - Phase 2 HVAC Upgrades and Roof Replacement</t>
  </si>
  <si>
    <t>SC2 Restroom Upgrades</t>
  </si>
  <si>
    <t>Daniel Capparella</t>
  </si>
  <si>
    <t>Wyatt Center Rotunda Repairs</t>
  </si>
  <si>
    <t>crowhus_08312025_FRP</t>
  </si>
  <si>
    <t>Dean of Students</t>
  </si>
  <si>
    <t>17TH &amp; HORTON</t>
  </si>
  <si>
    <t>17th &amp; Horton Elevators Modernization</t>
  </si>
  <si>
    <t>Buttrick Hall - Restore / Replace Exterior Wood Doors and Closures</t>
  </si>
  <si>
    <t>Law School Partial Roof Replacement</t>
  </si>
  <si>
    <t>Law School Walkway Replacement</t>
  </si>
  <si>
    <t>SC2 Molecular Biology HVAC Replacement</t>
  </si>
  <si>
    <t>08/28/2025 Project Complete.</t>
  </si>
  <si>
    <t>08/29/2025 Door hardware replacement is still not completed; once complete the project will be closed out.</t>
  </si>
  <si>
    <t>08/28/2025 Moving through LC process. no change from last month.</t>
  </si>
  <si>
    <t>08/26/2025 Complete.  Working through punchlist items.  Waiting on invoices to clear and one year review.</t>
  </si>
  <si>
    <t>08/26/2025 Construction complete and inspection passed.  Waiting on invoices to clear to begin the closeout process.</t>
  </si>
  <si>
    <t>08/28/2025 Moved to library closeout.  waiting on closeout documents from contractor.  No change from last month.</t>
  </si>
  <si>
    <t>08/28/2025 Project completed.  Moving to Library Closeout.  No change from last month.</t>
  </si>
  <si>
    <t>08/26/2025 Project complete.</t>
  </si>
  <si>
    <t>08/26/2025 Construction Complete.  Awaiting final invoice to begin closeout process</t>
  </si>
  <si>
    <t>FX2-2</t>
  </si>
  <si>
    <t>crowhus_09302025_FRP</t>
  </si>
  <si>
    <t>COHEN MEMORIAL</t>
  </si>
  <si>
    <t>Cohen Memorial - Water Intrusion Repair</t>
  </si>
  <si>
    <t>09/29/2025 Project has been completed, awaiting warranty and manuals. Will confirm with BSC that tests were completed and passed.</t>
  </si>
  <si>
    <t>Law School - Air Compressor Replacement #6</t>
  </si>
  <si>
    <t>Blair School Legacy VAV Replacement and Duct Encapsulation</t>
  </si>
  <si>
    <t>SC7 - AHUs Replacement</t>
  </si>
  <si>
    <t>10/28/2025 Electrical and Mechanical requirements are the last of the items to be completed.  Once items are finished, Lerch Bates to do a final inspection before project can be written as complete.</t>
  </si>
  <si>
    <t>crowhus_11302025_FRP</t>
  </si>
  <si>
    <r>
      <rPr>
        <i/>
        <sz val="11"/>
        <color theme="1"/>
        <rFont val="Aptos"/>
        <family val="2"/>
      </rPr>
      <t>plus</t>
    </r>
    <r>
      <rPr>
        <sz val="11"/>
        <color theme="1"/>
        <rFont val="Aptos"/>
        <family val="2"/>
      </rPr>
      <t xml:space="preserve"> carryforward</t>
    </r>
  </si>
  <si>
    <r>
      <rPr>
        <i/>
        <sz val="11"/>
        <color theme="1"/>
        <rFont val="Aptos"/>
        <family val="2"/>
      </rPr>
      <t xml:space="preserve">(less) </t>
    </r>
    <r>
      <rPr>
        <sz val="11"/>
        <color theme="1"/>
        <rFont val="Aptos"/>
        <family val="2"/>
      </rPr>
      <t>TBD</t>
    </r>
  </si>
  <si>
    <r>
      <t xml:space="preserve">Facility Renewal Program: </t>
    </r>
    <r>
      <rPr>
        <b/>
        <i/>
        <sz val="11"/>
        <color theme="1"/>
        <rFont val="Aptos"/>
        <family val="2"/>
      </rPr>
      <t>Projects</t>
    </r>
  </si>
  <si>
    <r>
      <t xml:space="preserve">Facility Renewal Program: </t>
    </r>
    <r>
      <rPr>
        <b/>
        <i/>
        <sz val="11"/>
        <color theme="1"/>
        <rFont val="Aptos"/>
        <family val="2"/>
      </rPr>
      <t>Contributions - FY23</t>
    </r>
  </si>
  <si>
    <r>
      <t xml:space="preserve">Facility Renewal Program: </t>
    </r>
    <r>
      <rPr>
        <b/>
        <i/>
        <sz val="11"/>
        <color theme="1"/>
        <rFont val="Aptos"/>
        <family val="2"/>
      </rPr>
      <t>Contributions - FY24</t>
    </r>
  </si>
  <si>
    <r>
      <t xml:space="preserve">Facility Renewal Program: </t>
    </r>
    <r>
      <rPr>
        <b/>
        <i/>
        <sz val="11"/>
        <color theme="1"/>
        <rFont val="Aptos"/>
        <family val="2"/>
      </rPr>
      <t>Contributions - FY25</t>
    </r>
  </si>
  <si>
    <r>
      <t xml:space="preserve">Facility Renewal Program: </t>
    </r>
    <r>
      <rPr>
        <b/>
        <i/>
        <sz val="11"/>
        <color theme="1"/>
        <rFont val="Aptos"/>
        <family val="2"/>
      </rPr>
      <t>Contributions - FY26</t>
    </r>
  </si>
  <si>
    <r>
      <t xml:space="preserve">Facility Renewal Program: </t>
    </r>
    <r>
      <rPr>
        <b/>
        <i/>
        <sz val="11"/>
        <color theme="1"/>
        <rFont val="Aptos"/>
        <family val="2"/>
      </rPr>
      <t>Contributions - FY27</t>
    </r>
  </si>
  <si>
    <r>
      <t xml:space="preserve">Facility Renewal Program: </t>
    </r>
    <r>
      <rPr>
        <b/>
        <i/>
        <sz val="11"/>
        <color theme="1"/>
        <rFont val="Aptos"/>
        <family val="2"/>
      </rPr>
      <t>Summary by Project</t>
    </r>
  </si>
  <si>
    <r>
      <t xml:space="preserve">Facility Renewal Program: </t>
    </r>
    <r>
      <rPr>
        <b/>
        <i/>
        <sz val="11"/>
        <color theme="1"/>
        <rFont val="Aptos"/>
        <family val="2"/>
      </rPr>
      <t>Summary by School</t>
    </r>
  </si>
  <si>
    <t>Removing existing chillers and cooling towers (in coordination with SC-6 renovation)</t>
  </si>
  <si>
    <t>11/25/2025 Demo is in full swing.  All ceilings have been removed, AHU 1 &amp; 2 are at 90% completed demo.  New units scheduled to arrive in January.</t>
  </si>
  <si>
    <t>11/25/2025 AHU installation completed.   System is currently up and running, space is conditioned and running well.   Temp unit has been removed and all construction fencing is removed.  waiting on commissioning. no change from last month</t>
  </si>
  <si>
    <t>11/25/2025 Start up of DOAS units have been pushed to December 3rd. Testing and Balancing will happen 12/8-12/10 with commissioning happening 12/12.</t>
  </si>
  <si>
    <t>11/21/2025 We are awaiting definitive plans from the CUI project to determine where our chilled water connection will be. If hot water goes past the building as part of CUI we will rework the design to include hot water connection.</t>
  </si>
  <si>
    <t>11/25/2025 Updated drawings received.  Working through the last 5 phases now.  Two phases (7 &amp; 8) will be delayed until we can do the office renovation in concurrence with the HVAC controls in order to minimize disruption to the lab space.  Current target to completion is end of January, pending budget approval for office buildout associated with Deans Space Reallocation project.</t>
  </si>
  <si>
    <t>11/21/2025 Patio pours are complete, stairs have been poured, concrete to the sidewalk has been poured. Masonry is mostly complete against the building; we still need to complete the exhaust vent dormer and pour topping slab. THP has reviewed the site and made suggestions to ensure no water is entering the building and asked for water tests. Work has started to seal cracks from below. Lighting is pushed back to the new year.</t>
  </si>
  <si>
    <t>11/25/2025 Temporary units are being tied in now.  Switch over to temp units scheduled for December before demo can begin.</t>
  </si>
  <si>
    <t>11/26/2025 Summer 2026 project.  Internal parties are determining the best solution for the project and the future of the building.</t>
  </si>
  <si>
    <t>11/26/2025 Construction is scheduled to start on 12/15/2025.</t>
  </si>
  <si>
    <t>11/25/2025 Pushing this work to FY 25/26, summer '26.  Equipment is on order.</t>
  </si>
  <si>
    <t>11/25/2025 BAC approved, CA is in progress.</t>
  </si>
  <si>
    <t>11/20/2025 We have reviewed AEIs draft study with A&amp;S and assets. We are awaiting a few other conversations on the future of these buildings before giving AEI a direction for a final report.</t>
  </si>
  <si>
    <t>11/21/2025 We are awaiting all comments from VU engineering before final drawings are stamped. We have spoken to building managers and they understand the scope and timeline. Longest lead time is 12 weeks so getting the bid out in December is acceptable to meet summer 2026 schedule.</t>
  </si>
  <si>
    <t>11/25/2025 Schedule currently set for winter break:  12/22 - 1/4/26.</t>
  </si>
  <si>
    <t>11/25/2025 All equipment is in hand with the contractor.  Working on scheduling this as off-hour work to avoid shutdowns of labs.</t>
  </si>
  <si>
    <t>11/24/2025 1st of four towers is completed.  contractor is currently working on the second tower.  Targeting 01/01/26 completion.</t>
  </si>
  <si>
    <t>11/24/2025 Held site visit 11/10/25. Drafting scope.</t>
  </si>
  <si>
    <t>12/05/2025 11/05/2025 Orion Construction will manage this work alongside their efforts for Olin Hall lab renovations. This work is estimated to be completed spring 2026.</t>
  </si>
  <si>
    <t>11/24/2025 engineers report received, sent to stakeholders for review.  waiting on responses back.</t>
  </si>
  <si>
    <t>11/26/2025 Meeting with the Zone manager to determine scope of work and budget.</t>
  </si>
  <si>
    <t>11/26/2025 Working through the PO for the elevator consultant.</t>
  </si>
  <si>
    <t>11/24/2025 Meeting with stakeholders to determine scope of work and budget.</t>
  </si>
  <si>
    <t>11/26/2025 Met with VUMO engineering to determine the needs for mechanical equipment on the roof that are in the way for replacement.  It is determined that building a penthouse around the equipment is the best option.</t>
  </si>
  <si>
    <t>11/24/2025 Scope approved by Law School. Handing off to James.</t>
  </si>
  <si>
    <t>11/20/2025 Narrative was created for the project. Nashville Machine bid and bid was found appropriate. Po is in process for Nashville Machine for a winter break install. UO already submitted and discussions with zone and building manager completed for means and methods.</t>
  </si>
  <si>
    <t>11/26/2025 Planning stage gate letter sent to appropriate parties for signature.  Once returned, project will move to design.</t>
  </si>
  <si>
    <t>11/26/2025 Working with appropriate parties to determine the scope of work and next steps.</t>
  </si>
  <si>
    <t>Nickolaus Corniea</t>
  </si>
  <si>
    <t>James Moore</t>
  </si>
  <si>
    <t>FY23 FRP Transferred</t>
  </si>
  <si>
    <t>crowhus_12312025_FRP</t>
  </si>
  <si>
    <t>CP_400344</t>
  </si>
  <si>
    <t>CP_400343</t>
  </si>
  <si>
    <t>22000 - College of Connected Computing: Office of the Dean</t>
  </si>
  <si>
    <t>MRBIII - 5th Floor Controls</t>
  </si>
  <si>
    <t>Bidding</t>
  </si>
  <si>
    <t>School of Medicine</t>
  </si>
  <si>
    <t>School of Nursing</t>
  </si>
  <si>
    <t>College of Connected Computing</t>
  </si>
  <si>
    <t>crowhus_01312026_FRP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</si>
</sst>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00"/>
    <numFmt numFmtId="167" formatCode="[$-409]mmmm\ d\,\ yyyy;@"/>
    <numFmt numFmtId="168" formatCode="_(&quot;$&quot;* #,##0.0_);_(&quot;$&quot;* \(#,##0.0\);_(&quot;$&quot;* &quot;-&quot;??_);_(@_)"/>
    <numFmt numFmtId="169" formatCode="_(* #,##0.0_);_(* \(#,##0.0\);_(* &quot;-&quot;??_);_(@_)"/>
    <numFmt numFmtId="170" formatCode="_(* #,##0_);_(* \(#,##0\);_(* &quot;-&quot;?_);_(@_)"/>
  </numFmts>
  <fonts count="53" x14ac:knownFonts="1">
    <font>
      <sz val="11"/>
      <color theme="1"/>
      <name val="Calibri"/>
      <family val="2"/>
      <scheme val="minor"/>
    </font>
    <font>
      <sz val="11"/>
      <color theme="1"/>
      <name val="Calibri"/>
      <family val="2"/>
      <scheme val="minor"/>
    </font>
    <font>
      <sz val="11"/>
      <color theme="0"/>
      <name val="Calibri"/>
      <family val="2"/>
      <scheme val="minor"/>
    </font>
    <font>
      <sz val="11"/>
      <name val="Calibri"/>
      <family val="2"/>
      <scheme val="minor"/>
    </font>
    <font>
      <b/>
      <sz val="11"/>
      <color theme="1"/>
      <name val="Calibri"/>
      <family val="2"/>
      <scheme val="minor"/>
    </font>
    <font>
      <sz val="8"/>
      <name val="Calibri"/>
      <family val="2"/>
      <scheme val="minor"/>
    </font>
    <font>
      <b/>
      <sz val="11"/>
      <color theme="0"/>
      <name val="Calibri"/>
      <family val="2"/>
      <scheme val="minor"/>
    </font>
    <font>
      <sz val="12"/>
      <color theme="1"/>
      <name val="Nirmala UI Semilight"/>
      <family val="2"/>
    </font>
    <font>
      <i/>
      <sz val="11"/>
      <color theme="1"/>
      <name val="Calibri"/>
      <family val="2"/>
      <scheme val="minor"/>
    </font>
    <font>
      <sz val="10"/>
      <name val="Tahoma"/>
      <family val="2"/>
    </font>
    <font>
      <sz val="12"/>
      <color rgb="FF474F61"/>
      <name val="Arial"/>
      <family val="2"/>
    </font>
    <font>
      <u/>
      <sz val="11"/>
      <color theme="10"/>
      <name val="Calibri"/>
      <family val="2"/>
      <scheme val="minor"/>
    </font>
    <font>
      <i/>
      <sz val="11"/>
      <color rgb="FF7F7F7F"/>
      <name val="Calibri"/>
      <family val="2"/>
      <scheme val="minor"/>
    </font>
    <font>
      <sz val="11"/>
      <color theme="1"/>
      <name val="Aptos"/>
      <family val="2"/>
    </font>
    <font>
      <u/>
      <sz val="11"/>
      <color theme="10"/>
      <name val="Aptos"/>
      <family val="2"/>
    </font>
    <font>
      <b/>
      <sz val="11"/>
      <color theme="0"/>
      <name val="Aptos"/>
      <family val="2"/>
    </font>
    <font>
      <sz val="11"/>
      <name val="Aptos"/>
      <family val="2"/>
    </font>
    <font>
      <b/>
      <sz val="11"/>
      <color theme="1"/>
      <name val="Aptos"/>
      <family val="2"/>
    </font>
    <font>
      <i/>
      <sz val="11"/>
      <color theme="1"/>
      <name val="Aptos"/>
      <family val="2"/>
    </font>
    <font>
      <sz val="10"/>
      <name val="Aptos"/>
      <family val="2"/>
    </font>
    <font>
      <b/>
      <sz val="11"/>
      <name val="Aptos"/>
      <family val="2"/>
    </font>
    <font>
      <b/>
      <u/>
      <sz val="11"/>
      <color theme="1"/>
      <name val="Aptos"/>
      <family val="2"/>
    </font>
    <font>
      <b/>
      <i/>
      <sz val="11"/>
      <color theme="1"/>
      <name val="Aptos"/>
      <family val="2"/>
    </font>
    <font>
      <sz val="11"/>
      <color theme="9" tint="-0.249977111117893"/>
      <name val="Aptos"/>
      <family val="2"/>
    </font>
    <font>
      <i/>
      <strike/>
      <sz val="10"/>
      <name val="Aptos"/>
      <family val="2"/>
    </font>
    <font>
      <strike/>
      <sz val="11"/>
      <name val="Aptos"/>
      <family val="2"/>
    </font>
    <font>
      <strike/>
      <u/>
      <sz val="11"/>
      <color theme="8" tint="-0.499984740745262"/>
      <name val="Aptos"/>
      <family val="2"/>
    </font>
    <font>
      <strike/>
      <sz val="11"/>
      <color theme="1"/>
      <name val="Aptos"/>
      <family val="2"/>
    </font>
    <font>
      <strike/>
      <sz val="11"/>
      <color theme="9" tint="-0.249977111117893"/>
      <name val="Aptos"/>
      <family val="2"/>
    </font>
    <font>
      <i/>
      <sz val="10"/>
      <name val="Aptos"/>
      <family val="2"/>
    </font>
    <font>
      <u/>
      <sz val="11"/>
      <color theme="8" tint="-0.499984740745262"/>
      <name val="Aptos"/>
      <family val="2"/>
    </font>
    <font>
      <strike/>
      <u/>
      <sz val="11"/>
      <color theme="10"/>
      <name val="Aptos"/>
      <family val="2"/>
    </font>
    <font>
      <b/>
      <sz val="11"/>
      <color rgb="FF000000"/>
      <name val="Aptos"/>
      <family val="2"/>
    </font>
    <font>
      <i/>
      <sz val="9"/>
      <color theme="1"/>
      <name val="Aptos"/>
      <family val="2"/>
    </font>
    <font>
      <sz val="11"/>
      <color rgb="FFFF0000"/>
      <name val="Aptos"/>
      <family val="2"/>
    </font>
    <font>
      <sz val="16"/>
      <color theme="0"/>
      <name val="Aptos"/>
      <family val="2"/>
    </font>
    <font>
      <sz val="11"/>
      <color theme="0"/>
      <name val="Aptos"/>
      <family val="2"/>
    </font>
    <font>
      <i/>
      <sz val="10"/>
      <color theme="1"/>
      <name val="Aptos"/>
      <family val="2"/>
    </font>
    <font>
      <sz val="11"/>
      <color theme="9"/>
      <name val="Aptos"/>
      <family val="2"/>
    </font>
    <font>
      <sz val="10"/>
      <color theme="1"/>
      <name val="Aptos"/>
      <family val="2"/>
    </font>
    <font>
      <sz val="10"/>
      <color rgb="FFFF0000"/>
      <name val="Aptos"/>
      <family val="2"/>
    </font>
    <font>
      <sz val="10"/>
      <color rgb="FF006699"/>
      <name val="Aptos"/>
      <family val="2"/>
    </font>
    <font>
      <i/>
      <sz val="10"/>
      <color rgb="FF006699"/>
      <name val="Aptos"/>
      <family val="2"/>
    </font>
    <font>
      <sz val="10"/>
      <color theme="0"/>
      <name val="Aptos"/>
      <family val="2"/>
    </font>
    <font>
      <i/>
      <sz val="10"/>
      <color theme="9"/>
      <name val="Aptos"/>
      <family val="2"/>
    </font>
    <font>
      <b/>
      <sz val="10"/>
      <color theme="3"/>
      <name val="Aptos"/>
      <family val="2"/>
    </font>
    <font>
      <sz val="10"/>
      <color theme="9"/>
      <name val="Aptos"/>
      <family val="2"/>
    </font>
    <font>
      <sz val="11"/>
      <color rgb="FFC00000"/>
      <name val="Aptos"/>
      <family val="2"/>
    </font>
    <font>
      <sz val="11"/>
      <color theme="5"/>
      <name val="Aptos"/>
      <family val="2"/>
    </font>
    <font>
      <sz val="9"/>
      <color theme="1"/>
      <name val="Aptos"/>
      <family val="2"/>
    </font>
    <font>
      <vertAlign val="superscript"/>
      <sz val="11"/>
      <color theme="1"/>
      <name val="Aptos"/>
      <family val="2"/>
    </font>
    <font>
      <i/>
      <sz val="16"/>
      <color rgb="FF7F7F7F"/>
      <name val="Aptos"/>
      <family val="2"/>
    </font>
    <font>
      <sz val="11"/>
      <color theme="1"/>
      <name val="Aptos"/>
    </font>
  </fonts>
  <fills count="39">
    <fill>
      <patternFill patternType="none"/>
    </fill>
    <fill>
      <patternFill patternType="gray125"/>
    </fill>
    <fill>
      <patternFill patternType="solid">
        <fgColor theme="8"/>
      </patternFill>
    </fill>
    <fill>
      <patternFill patternType="solid">
        <fgColor theme="3"/>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8"/>
        <bgColor indexed="64"/>
      </patternFill>
    </fill>
    <fill>
      <patternFill patternType="solid">
        <fgColor theme="7" tint="0.79998168889431442"/>
        <bgColor indexed="64"/>
      </patternFill>
    </fill>
    <fill>
      <patternFill patternType="solid">
        <fgColor theme="7"/>
        <bgColor indexed="64"/>
      </patternFill>
    </fill>
    <fill>
      <patternFill patternType="solid">
        <fgColor theme="5"/>
        <bgColor indexed="64"/>
      </patternFill>
    </fill>
    <fill>
      <patternFill patternType="solid">
        <fgColor theme="4"/>
        <bgColor indexed="64"/>
      </patternFill>
    </fill>
    <fill>
      <patternFill patternType="solid">
        <fgColor theme="4" tint="0.79998168889431442"/>
        <bgColor indexed="64"/>
      </patternFill>
    </fill>
    <fill>
      <patternFill patternType="solid">
        <fgColor theme="6" tint="0.59999389629810485"/>
        <bgColor indexed="65"/>
      </patternFill>
    </fill>
    <fill>
      <patternFill patternType="solid">
        <fgColor theme="9"/>
        <bgColor indexed="64"/>
      </patternFill>
    </fill>
    <fill>
      <patternFill patternType="solid">
        <fgColor theme="9" tint="0.79998168889431442"/>
        <bgColor indexed="64"/>
      </patternFill>
    </fill>
    <fill>
      <patternFill patternType="solid">
        <fgColor theme="5"/>
      </patternFill>
    </fill>
    <fill>
      <patternFill patternType="solid">
        <fgColor theme="0"/>
      </patternFill>
    </fill>
    <fill>
      <patternFill patternType="solid">
        <fgColor theme="8" tint="0.59999389629810485"/>
        <bgColor indexed="64"/>
      </patternFill>
    </fill>
    <fill>
      <patternFill patternType="solid">
        <fgColor theme="5" tint="0.79998168889431442"/>
        <bgColor indexed="64"/>
      </patternFill>
    </fill>
    <fill>
      <patternFill patternType="solid">
        <fgColor rgb="FF00B0F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FFFFFF"/>
        <bgColor indexed="64"/>
      </patternFill>
    </fill>
    <fill>
      <patternFill patternType="solid">
        <fgColor theme="6"/>
      </patternFill>
    </fill>
    <fill>
      <patternFill patternType="solid">
        <fgColor theme="5" tint="0.59999389629810485"/>
        <bgColor indexed="64"/>
      </patternFill>
    </fill>
    <fill>
      <patternFill patternType="solid">
        <fgColor theme="4"/>
      </patternFill>
    </fill>
    <fill>
      <patternFill patternType="solid">
        <fgColor theme="4" tint="0.59999389629810485"/>
        <bgColor indexed="65"/>
      </patternFill>
    </fill>
    <fill>
      <patternFill patternType="solid">
        <fgColor theme="7"/>
      </patternFill>
    </fill>
    <fill>
      <patternFill patternType="solid">
        <fgColor theme="7" tint="0.59999389629810485"/>
        <bgColor indexed="65"/>
      </patternFill>
    </fill>
    <fill>
      <patternFill patternType="solid">
        <fgColor theme="8" tint="0.59999389629810485"/>
        <bgColor indexed="65"/>
      </patternFill>
    </fill>
    <fill>
      <patternFill patternType="solid">
        <fgColor rgb="FFFFFF93"/>
        <bgColor indexed="64"/>
      </patternFill>
    </fill>
    <fill>
      <patternFill patternType="solid">
        <fgColor theme="3" tint="0.59999389629810485"/>
        <bgColor indexed="64"/>
      </patternFill>
    </fill>
    <fill>
      <patternFill patternType="solid">
        <fgColor indexed="9"/>
        <bgColor indexed="64"/>
      </patternFill>
    </fill>
    <fill>
      <patternFill patternType="solid">
        <fgColor theme="6"/>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FFFFCC"/>
        <bgColor indexed="64"/>
      </patternFill>
    </fill>
    <fill>
      <patternFill patternType="solid">
        <fgColor rgb="FF918E00"/>
        <bgColor indexed="64"/>
      </patternFill>
    </fill>
    <fill>
      <patternFill patternType="solid">
        <fgColor theme="3" tint="0.39997558519241921"/>
        <bgColor indexed="64"/>
      </patternFill>
    </fill>
  </fills>
  <borders count="15">
    <border>
      <left/>
      <right/>
      <top/>
      <bottom/>
      <diagonal/>
    </border>
    <border>
      <left/>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right/>
      <top style="thin">
        <color rgb="FFE5E6E7"/>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19">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2" borderId="0" applyNumberFormat="0" applyBorder="0" applyAlignment="0" applyProtection="0"/>
    <xf numFmtId="0" fontId="1" fillId="12" borderId="0" applyNumberFormat="0" applyBorder="0" applyAlignment="0" applyProtection="0"/>
    <xf numFmtId="0" fontId="2" fillId="15" borderId="0" applyNumberFormat="0" applyBorder="0" applyAlignment="0" applyProtection="0"/>
    <xf numFmtId="49" fontId="9" fillId="16" borderId="0">
      <protection locked="0"/>
    </xf>
    <xf numFmtId="9" fontId="1" fillId="0" borderId="0" applyFont="0" applyFill="0" applyBorder="0" applyAlignment="0" applyProtection="0"/>
    <xf numFmtId="0" fontId="10" fillId="22" borderId="5">
      <alignment horizontal="left" vertical="center" wrapText="1"/>
    </xf>
    <xf numFmtId="0" fontId="2" fillId="23" borderId="0" applyNumberFormat="0" applyBorder="0" applyAlignment="0" applyProtection="0"/>
    <xf numFmtId="0" fontId="11" fillId="0" borderId="0" applyNumberFormat="0" applyFill="0" applyBorder="0" applyAlignment="0" applyProtection="0"/>
    <xf numFmtId="0" fontId="2" fillId="25" borderId="0" applyNumberFormat="0" applyBorder="0" applyAlignment="0" applyProtection="0"/>
    <xf numFmtId="0" fontId="1" fillId="26" borderId="0" applyNumberFormat="0" applyBorder="0" applyAlignment="0" applyProtection="0"/>
    <xf numFmtId="0" fontId="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2" fillId="0" borderId="0" applyNumberFormat="0" applyFill="0" applyBorder="0" applyAlignment="0" applyProtection="0"/>
    <xf numFmtId="4" fontId="9" fillId="32" borderId="14"/>
    <xf numFmtId="0" fontId="1" fillId="0" borderId="0"/>
  </cellStyleXfs>
  <cellXfs count="345">
    <xf numFmtId="0" fontId="0" fillId="0" borderId="0" xfId="0"/>
    <xf numFmtId="0" fontId="2" fillId="3" borderId="0" xfId="3" applyFill="1"/>
    <xf numFmtId="0" fontId="2" fillId="3" borderId="0" xfId="3" applyFill="1" applyAlignment="1">
      <alignment horizontal="center"/>
    </xf>
    <xf numFmtId="0" fontId="3" fillId="0" borderId="0" xfId="0" applyFont="1"/>
    <xf numFmtId="164" fontId="3" fillId="4" borderId="0" xfId="1" applyNumberFormat="1" applyFont="1" applyFill="1"/>
    <xf numFmtId="164" fontId="2" fillId="3" borderId="0" xfId="1" applyNumberFormat="1" applyFont="1" applyFill="1"/>
    <xf numFmtId="0" fontId="7" fillId="0" borderId="0" xfId="0" applyFont="1" applyAlignment="1">
      <alignment horizontal="left" vertical="center" indent="1"/>
    </xf>
    <xf numFmtId="0" fontId="7" fillId="0" borderId="0" xfId="0" applyFont="1" applyAlignment="1">
      <alignment horizontal="left" vertical="center" indent="2"/>
    </xf>
    <xf numFmtId="0" fontId="4" fillId="0" borderId="0" xfId="0" applyFont="1"/>
    <xf numFmtId="0" fontId="3" fillId="0" borderId="0" xfId="0" applyFont="1" applyAlignment="1">
      <alignment horizontal="left" vertical="center" readingOrder="1"/>
    </xf>
    <xf numFmtId="0" fontId="8" fillId="0" borderId="0" xfId="0" applyFont="1"/>
    <xf numFmtId="0" fontId="0" fillId="0" borderId="0" xfId="0" applyAlignment="1">
      <alignment horizontal="left" indent="1"/>
    </xf>
    <xf numFmtId="0" fontId="8" fillId="0" borderId="0" xfId="0" applyFont="1" applyAlignment="1">
      <alignment horizontal="left" indent="1"/>
    </xf>
    <xf numFmtId="14" fontId="0" fillId="0" borderId="0" xfId="0" applyNumberFormat="1"/>
    <xf numFmtId="0" fontId="6" fillId="8" borderId="0" xfId="0" applyFont="1" applyFill="1" applyAlignment="1">
      <alignment horizontal="center" vertical="center" readingOrder="1"/>
    </xf>
    <xf numFmtId="0" fontId="6" fillId="8" borderId="0" xfId="0" applyFont="1" applyFill="1" applyAlignment="1">
      <alignment horizontal="center" readingOrder="1"/>
    </xf>
    <xf numFmtId="0" fontId="6" fillId="8" borderId="0" xfId="0" applyFont="1" applyFill="1" applyAlignment="1">
      <alignment horizontal="left" readingOrder="1"/>
    </xf>
    <xf numFmtId="0" fontId="6" fillId="6" borderId="0" xfId="0" applyFont="1" applyFill="1" applyAlignment="1">
      <alignment horizontal="center" readingOrder="1"/>
    </xf>
    <xf numFmtId="44" fontId="3" fillId="5" borderId="0" xfId="2" applyFont="1" applyFill="1" applyBorder="1" applyAlignment="1">
      <alignment horizontal="right" vertical="center" readingOrder="1"/>
    </xf>
    <xf numFmtId="0" fontId="6" fillId="15" borderId="0" xfId="5" applyFont="1"/>
    <xf numFmtId="44" fontId="0" fillId="0" borderId="0" xfId="2" applyFont="1"/>
    <xf numFmtId="44" fontId="0" fillId="0" borderId="0" xfId="0" applyNumberFormat="1"/>
    <xf numFmtId="44" fontId="0" fillId="0" borderId="2" xfId="0" applyNumberFormat="1" applyBorder="1"/>
    <xf numFmtId="44" fontId="4" fillId="0" borderId="0" xfId="0" applyNumberFormat="1" applyFont="1"/>
    <xf numFmtId="44" fontId="8" fillId="0" borderId="0" xfId="0" applyNumberFormat="1" applyFont="1"/>
    <xf numFmtId="44" fontId="3" fillId="0" borderId="0" xfId="2" applyFont="1" applyFill="1" applyBorder="1" applyAlignment="1">
      <alignment horizontal="right" vertical="center" readingOrder="1"/>
    </xf>
    <xf numFmtId="44" fontId="8" fillId="0" borderId="0" xfId="2" applyFont="1" applyFill="1"/>
    <xf numFmtId="44" fontId="0" fillId="0" borderId="0" xfId="2" applyFont="1" applyFill="1"/>
    <xf numFmtId="0" fontId="8" fillId="0" borderId="2" xfId="0" applyFont="1" applyBorder="1"/>
    <xf numFmtId="0" fontId="0" fillId="0" borderId="2" xfId="0" applyBorder="1"/>
    <xf numFmtId="44" fontId="8" fillId="0" borderId="2" xfId="0" applyNumberFormat="1" applyFont="1" applyBorder="1"/>
    <xf numFmtId="0" fontId="6" fillId="6" borderId="0" xfId="9" applyFont="1" applyFill="1"/>
    <xf numFmtId="44" fontId="6" fillId="6" borderId="0" xfId="9" applyNumberFormat="1" applyFont="1" applyFill="1"/>
    <xf numFmtId="0" fontId="11" fillId="0" borderId="0" xfId="10" quotePrefix="1"/>
    <xf numFmtId="0" fontId="6" fillId="10" borderId="0" xfId="0" applyFont="1" applyFill="1" applyAlignment="1">
      <alignment horizontal="center" readingOrder="1"/>
    </xf>
    <xf numFmtId="44" fontId="3" fillId="11" borderId="0" xfId="2" applyFont="1" applyFill="1" applyBorder="1" applyAlignment="1">
      <alignment horizontal="right" vertical="center" readingOrder="1"/>
    </xf>
    <xf numFmtId="14" fontId="0" fillId="0" borderId="0" xfId="0" applyNumberFormat="1" applyAlignment="1">
      <alignment horizontal="left"/>
    </xf>
    <xf numFmtId="14" fontId="0" fillId="0" borderId="0" xfId="0" applyNumberFormat="1" applyAlignment="1">
      <alignment horizontal="right"/>
    </xf>
    <xf numFmtId="43" fontId="0" fillId="0" borderId="0" xfId="1" applyFont="1"/>
    <xf numFmtId="0" fontId="13" fillId="0" borderId="0" xfId="0" applyFont="1"/>
    <xf numFmtId="0" fontId="14" fillId="0" borderId="0" xfId="10" quotePrefix="1" applyFont="1"/>
    <xf numFmtId="0" fontId="15" fillId="8" borderId="0" xfId="0" applyFont="1" applyFill="1" applyAlignment="1">
      <alignment horizontal="center" readingOrder="1"/>
    </xf>
    <xf numFmtId="0" fontId="15" fillId="8" borderId="0" xfId="0" applyFont="1" applyFill="1" applyAlignment="1">
      <alignment horizontal="center" vertical="center" readingOrder="1"/>
    </xf>
    <xf numFmtId="0" fontId="15" fillId="8" borderId="0" xfId="0" applyFont="1" applyFill="1" applyAlignment="1">
      <alignment horizontal="left" readingOrder="1"/>
    </xf>
    <xf numFmtId="0" fontId="15" fillId="6" borderId="0" xfId="0" applyFont="1" applyFill="1" applyAlignment="1">
      <alignment horizontal="center" readingOrder="1"/>
    </xf>
    <xf numFmtId="0" fontId="15" fillId="10" borderId="0" xfId="0" applyFont="1" applyFill="1" applyAlignment="1">
      <alignment horizontal="center" readingOrder="1"/>
    </xf>
    <xf numFmtId="0" fontId="16" fillId="0" borderId="0" xfId="0" applyFont="1" applyAlignment="1">
      <alignment horizontal="left" vertical="center" readingOrder="1"/>
    </xf>
    <xf numFmtId="44" fontId="16" fillId="0" borderId="0" xfId="2" applyFont="1" applyFill="1" applyBorder="1" applyAlignment="1">
      <alignment horizontal="right" vertical="center" readingOrder="1"/>
    </xf>
    <xf numFmtId="44" fontId="16" fillId="11" borderId="0" xfId="2" applyFont="1" applyFill="1" applyBorder="1" applyAlignment="1">
      <alignment horizontal="right" vertical="center" readingOrder="1"/>
    </xf>
    <xf numFmtId="44" fontId="13" fillId="0" borderId="0" xfId="2" applyFont="1"/>
    <xf numFmtId="9" fontId="13" fillId="0" borderId="0" xfId="7" applyFont="1"/>
    <xf numFmtId="0" fontId="13" fillId="0" borderId="4" xfId="0" applyFont="1" applyBorder="1" applyAlignment="1">
      <alignment horizontal="center"/>
    </xf>
    <xf numFmtId="0" fontId="15" fillId="15" borderId="0" xfId="5" applyFont="1"/>
    <xf numFmtId="0" fontId="13" fillId="0" borderId="0" xfId="0" applyFont="1" applyAlignment="1">
      <alignment horizontal="left" indent="1"/>
    </xf>
    <xf numFmtId="44" fontId="13" fillId="0" borderId="0" xfId="0" applyNumberFormat="1" applyFont="1"/>
    <xf numFmtId="0" fontId="17" fillId="0" borderId="0" xfId="0" applyFont="1" applyAlignment="1">
      <alignment horizontal="left" indent="1"/>
    </xf>
    <xf numFmtId="0" fontId="17" fillId="0" borderId="0" xfId="0" applyFont="1"/>
    <xf numFmtId="44" fontId="17" fillId="0" borderId="0" xfId="2" applyFont="1"/>
    <xf numFmtId="44" fontId="13" fillId="11" borderId="0" xfId="2" applyFont="1" applyFill="1"/>
    <xf numFmtId="14" fontId="17" fillId="0" borderId="0" xfId="0" applyNumberFormat="1" applyFont="1"/>
    <xf numFmtId="14" fontId="13" fillId="0" borderId="0" xfId="0" applyNumberFormat="1" applyFont="1"/>
    <xf numFmtId="44" fontId="17" fillId="0" borderId="0" xfId="2" applyFont="1" applyFill="1"/>
    <xf numFmtId="44" fontId="13" fillId="0" borderId="0" xfId="2" applyFont="1" applyFill="1"/>
    <xf numFmtId="44" fontId="13" fillId="0" borderId="2" xfId="0" applyNumberFormat="1" applyFont="1" applyBorder="1"/>
    <xf numFmtId="0" fontId="18" fillId="0" borderId="2" xfId="0" applyFont="1" applyBorder="1"/>
    <xf numFmtId="0" fontId="13" fillId="0" borderId="2" xfId="0" applyFont="1" applyBorder="1"/>
    <xf numFmtId="44" fontId="18" fillId="0" borderId="2" xfId="0" applyNumberFormat="1" applyFont="1" applyBorder="1"/>
    <xf numFmtId="0" fontId="15" fillId="6" borderId="0" xfId="9" applyFont="1" applyFill="1"/>
    <xf numFmtId="44" fontId="15" fillId="6" borderId="0" xfId="9" applyNumberFormat="1" applyFont="1" applyFill="1"/>
    <xf numFmtId="44" fontId="17" fillId="0" borderId="0" xfId="0" applyNumberFormat="1" applyFont="1"/>
    <xf numFmtId="49" fontId="19" fillId="0" borderId="0" xfId="6" applyFont="1" applyFill="1">
      <protection locked="0"/>
    </xf>
    <xf numFmtId="44" fontId="13" fillId="0" borderId="0" xfId="2" applyFont="1" applyAlignment="1">
      <alignment horizontal="center"/>
    </xf>
    <xf numFmtId="0" fontId="13" fillId="0" borderId="0" xfId="0" applyFont="1" applyAlignment="1">
      <alignment horizontal="center"/>
    </xf>
    <xf numFmtId="0" fontId="13" fillId="0" borderId="0" xfId="0" applyFont="1" applyAlignment="1">
      <alignment horizontal="left"/>
    </xf>
    <xf numFmtId="0" fontId="18" fillId="0" borderId="0" xfId="0" applyFont="1" applyAlignment="1">
      <alignment horizontal="left" indent="1"/>
    </xf>
    <xf numFmtId="49" fontId="20" fillId="0" borderId="0" xfId="6" applyFont="1" applyFill="1">
      <protection locked="0"/>
    </xf>
    <xf numFmtId="44" fontId="18" fillId="0" borderId="0" xfId="2" applyFont="1" applyFill="1"/>
    <xf numFmtId="0" fontId="21" fillId="0" borderId="0" xfId="0" applyFont="1"/>
    <xf numFmtId="0" fontId="13" fillId="0" borderId="3" xfId="0" applyFont="1" applyBorder="1" applyAlignment="1">
      <alignment horizontal="left" indent="1"/>
    </xf>
    <xf numFmtId="44" fontId="13" fillId="0" borderId="3" xfId="2" applyFont="1" applyBorder="1"/>
    <xf numFmtId="0" fontId="13" fillId="18" borderId="0" xfId="0" applyFont="1" applyFill="1"/>
    <xf numFmtId="44" fontId="13" fillId="18" borderId="0" xfId="2" applyFont="1" applyFill="1"/>
    <xf numFmtId="165" fontId="13" fillId="0" borderId="0" xfId="2" applyNumberFormat="1" applyFont="1"/>
    <xf numFmtId="0" fontId="13" fillId="4" borderId="0" xfId="0" applyFont="1" applyFill="1"/>
    <xf numFmtId="44" fontId="13" fillId="4" borderId="0" xfId="2" applyFont="1" applyFill="1"/>
    <xf numFmtId="0" fontId="17" fillId="17" borderId="0" xfId="0" applyFont="1" applyFill="1"/>
    <xf numFmtId="44" fontId="17" fillId="17" borderId="0" xfId="2" applyFont="1" applyFill="1"/>
    <xf numFmtId="0" fontId="13" fillId="0" borderId="3" xfId="0" applyFont="1" applyBorder="1" applyAlignment="1">
      <alignment horizontal="center"/>
    </xf>
    <xf numFmtId="164" fontId="13" fillId="0" borderId="0" xfId="1" applyNumberFormat="1" applyFont="1"/>
    <xf numFmtId="164" fontId="13" fillId="0" borderId="2" xfId="1" applyNumberFormat="1" applyFont="1" applyBorder="1"/>
    <xf numFmtId="164" fontId="13" fillId="0" borderId="2" xfId="0" applyNumberFormat="1" applyFont="1" applyBorder="1"/>
    <xf numFmtId="164" fontId="13" fillId="30" borderId="0" xfId="0" applyNumberFormat="1" applyFont="1" applyFill="1"/>
    <xf numFmtId="44" fontId="13" fillId="0" borderId="0" xfId="2" applyFont="1" applyBorder="1"/>
    <xf numFmtId="164" fontId="13" fillId="0" borderId="2" xfId="1" applyNumberFormat="1" applyFont="1" applyFill="1" applyBorder="1"/>
    <xf numFmtId="0" fontId="17" fillId="0" borderId="3" xfId="0" applyFont="1" applyBorder="1"/>
    <xf numFmtId="0" fontId="17" fillId="0" borderId="0" xfId="0" applyFont="1" applyAlignment="1">
      <alignment vertical="center"/>
    </xf>
    <xf numFmtId="0" fontId="13" fillId="0" borderId="0" xfId="0" applyFont="1" applyAlignment="1">
      <alignment vertical="center"/>
    </xf>
    <xf numFmtId="164" fontId="13" fillId="0" borderId="0" xfId="1" applyNumberFormat="1" applyFont="1" applyBorder="1" applyAlignment="1">
      <alignment vertical="center"/>
    </xf>
    <xf numFmtId="0" fontId="14" fillId="0" borderId="0" xfId="10" quotePrefix="1" applyFont="1" applyAlignment="1">
      <alignment vertical="center"/>
    </xf>
    <xf numFmtId="164" fontId="14" fillId="0" borderId="0" xfId="10" quotePrefix="1" applyNumberFormat="1" applyFont="1" applyBorder="1" applyAlignment="1">
      <alignment vertical="center"/>
    </xf>
    <xf numFmtId="0" fontId="23" fillId="0" borderId="0" xfId="0" applyFont="1" applyAlignment="1">
      <alignment horizontal="center" vertical="center"/>
    </xf>
    <xf numFmtId="0" fontId="18" fillId="0" borderId="0" xfId="0" applyFont="1" applyAlignment="1">
      <alignment vertical="center"/>
    </xf>
    <xf numFmtId="14" fontId="13" fillId="0" borderId="0" xfId="0" applyNumberFormat="1" applyFont="1" applyAlignment="1">
      <alignment vertical="center"/>
    </xf>
    <xf numFmtId="167" fontId="13" fillId="0" borderId="0" xfId="0" applyNumberFormat="1" applyFont="1" applyAlignment="1">
      <alignment vertical="center"/>
    </xf>
    <xf numFmtId="0" fontId="15" fillId="8" borderId="0" xfId="0" applyFont="1" applyFill="1" applyAlignment="1">
      <alignment horizontal="center" vertical="center" wrapText="1" readingOrder="1"/>
    </xf>
    <xf numFmtId="0" fontId="15" fillId="8" borderId="0" xfId="0" applyFont="1" applyFill="1" applyAlignment="1">
      <alignment horizontal="left" vertical="center" wrapText="1" readingOrder="1"/>
    </xf>
    <xf numFmtId="164" fontId="15" fillId="13" borderId="0" xfId="1" applyNumberFormat="1" applyFont="1" applyFill="1" applyBorder="1" applyAlignment="1">
      <alignment horizontal="center" vertical="center" wrapText="1" readingOrder="1"/>
    </xf>
    <xf numFmtId="164" fontId="15" fillId="8" borderId="0" xfId="1" applyNumberFormat="1" applyFont="1" applyFill="1" applyBorder="1" applyAlignment="1">
      <alignment horizontal="center" vertical="center" wrapText="1" readingOrder="1"/>
    </xf>
    <xf numFmtId="164" fontId="15" fillId="37" borderId="0" xfId="1" applyNumberFormat="1" applyFont="1" applyFill="1" applyBorder="1" applyAlignment="1">
      <alignment horizontal="center" vertical="center" wrapText="1" readingOrder="1"/>
    </xf>
    <xf numFmtId="164" fontId="15" fillId="10" borderId="0" xfId="1" applyNumberFormat="1" applyFont="1" applyFill="1" applyBorder="1" applyAlignment="1">
      <alignment horizontal="center" vertical="center" wrapText="1" readingOrder="1"/>
    </xf>
    <xf numFmtId="164" fontId="15" fillId="6" borderId="0" xfId="1" applyNumberFormat="1" applyFont="1" applyFill="1" applyBorder="1" applyAlignment="1">
      <alignment horizontal="center" vertical="center" wrapText="1" readingOrder="1"/>
    </xf>
    <xf numFmtId="164" fontId="15" fillId="9" borderId="0" xfId="1" applyNumberFormat="1" applyFont="1" applyFill="1" applyBorder="1" applyAlignment="1">
      <alignment horizontal="center" vertical="center" wrapText="1" readingOrder="1"/>
    </xf>
    <xf numFmtId="164" fontId="15" fillId="3" borderId="0" xfId="1" applyNumberFormat="1" applyFont="1" applyFill="1" applyBorder="1" applyAlignment="1">
      <alignment horizontal="center" vertical="center" wrapText="1" readingOrder="1"/>
    </xf>
    <xf numFmtId="0" fontId="23" fillId="0" borderId="0" xfId="0" applyFont="1" applyAlignment="1">
      <alignment horizontal="center" vertical="center" wrapText="1"/>
    </xf>
    <xf numFmtId="0" fontId="13" fillId="0" borderId="0" xfId="0" applyFont="1" applyAlignment="1">
      <alignment vertical="center" wrapText="1"/>
    </xf>
    <xf numFmtId="0" fontId="24" fillId="0" borderId="6" xfId="0" applyFont="1" applyBorder="1" applyAlignment="1">
      <alignment vertical="center"/>
    </xf>
    <xf numFmtId="0" fontId="25" fillId="7" borderId="6" xfId="0" applyFont="1" applyFill="1" applyBorder="1" applyAlignment="1">
      <alignment horizontal="left" vertical="center" readingOrder="1"/>
    </xf>
    <xf numFmtId="0" fontId="26" fillId="0" borderId="6" xfId="10" applyFont="1" applyBorder="1" applyAlignment="1">
      <alignment horizontal="left" vertical="center" readingOrder="1"/>
    </xf>
    <xf numFmtId="0" fontId="25" fillId="0" borderId="6" xfId="0" applyFont="1" applyBorder="1" applyAlignment="1">
      <alignment horizontal="left" vertical="center" readingOrder="1"/>
    </xf>
    <xf numFmtId="0" fontId="25" fillId="14" borderId="6" xfId="0" applyFont="1" applyFill="1" applyBorder="1" applyAlignment="1">
      <alignment horizontal="left" vertical="center" readingOrder="1"/>
    </xf>
    <xf numFmtId="164" fontId="25" fillId="21" borderId="6" xfId="1" applyNumberFormat="1" applyFont="1" applyFill="1" applyBorder="1" applyAlignment="1">
      <alignment horizontal="right" vertical="center" readingOrder="1"/>
    </xf>
    <xf numFmtId="164" fontId="25" fillId="7" borderId="6" xfId="1" applyNumberFormat="1" applyFont="1" applyFill="1" applyBorder="1" applyAlignment="1">
      <alignment horizontal="right" vertical="center" readingOrder="1"/>
    </xf>
    <xf numFmtId="164" fontId="25" fillId="36" borderId="6" xfId="1" applyNumberFormat="1" applyFont="1" applyFill="1" applyBorder="1" applyAlignment="1">
      <alignment horizontal="right" vertical="center" readingOrder="1"/>
    </xf>
    <xf numFmtId="164" fontId="25" fillId="20" borderId="6" xfId="1" applyNumberFormat="1" applyFont="1" applyFill="1" applyBorder="1" applyAlignment="1">
      <alignment horizontal="right" vertical="center" readingOrder="1"/>
    </xf>
    <xf numFmtId="164" fontId="25" fillId="17" borderId="6" xfId="1" applyNumberFormat="1" applyFont="1" applyFill="1" applyBorder="1" applyAlignment="1">
      <alignment horizontal="right" vertical="center" readingOrder="1"/>
    </xf>
    <xf numFmtId="164" fontId="25" fillId="24" borderId="6" xfId="1" applyNumberFormat="1" applyFont="1" applyFill="1" applyBorder="1" applyAlignment="1">
      <alignment horizontal="right" vertical="center" readingOrder="1"/>
    </xf>
    <xf numFmtId="164" fontId="25" fillId="4" borderId="6" xfId="1" applyNumberFormat="1" applyFont="1" applyFill="1" applyBorder="1" applyAlignment="1">
      <alignment horizontal="right" vertical="center" readingOrder="1"/>
    </xf>
    <xf numFmtId="164" fontId="16" fillId="4" borderId="6" xfId="1" applyNumberFormat="1" applyFont="1" applyFill="1" applyBorder="1" applyAlignment="1">
      <alignment horizontal="right" vertical="center" readingOrder="1"/>
    </xf>
    <xf numFmtId="164" fontId="16" fillId="38" borderId="6" xfId="1" applyNumberFormat="1" applyFont="1" applyFill="1" applyBorder="1" applyAlignment="1">
      <alignment horizontal="right" vertical="center" readingOrder="1"/>
    </xf>
    <xf numFmtId="0" fontId="27" fillId="0" borderId="0" xfId="0" applyFont="1"/>
    <xf numFmtId="0" fontId="25" fillId="0" borderId="0" xfId="0" applyFont="1" applyAlignment="1">
      <alignment vertical="center"/>
    </xf>
    <xf numFmtId="0" fontId="28" fillId="0" borderId="0" xfId="0" applyFont="1" applyAlignment="1">
      <alignment horizontal="center" vertical="center"/>
    </xf>
    <xf numFmtId="164" fontId="16" fillId="24" borderId="6" xfId="1" applyNumberFormat="1" applyFont="1" applyFill="1" applyBorder="1" applyAlignment="1">
      <alignment horizontal="right" vertical="center" readingOrder="1"/>
    </xf>
    <xf numFmtId="0" fontId="29" fillId="0" borderId="6" xfId="0" applyFont="1" applyBorder="1" applyAlignment="1">
      <alignment vertical="center"/>
    </xf>
    <xf numFmtId="0" fontId="16" fillId="7" borderId="6" xfId="0" applyFont="1" applyFill="1" applyBorder="1" applyAlignment="1">
      <alignment horizontal="left" vertical="center" readingOrder="1"/>
    </xf>
    <xf numFmtId="0" fontId="30" fillId="0" borderId="6" xfId="10" applyFont="1" applyBorder="1" applyAlignment="1">
      <alignment horizontal="left" vertical="center" readingOrder="1"/>
    </xf>
    <xf numFmtId="0" fontId="16" fillId="0" borderId="6" xfId="0" applyFont="1" applyBorder="1" applyAlignment="1">
      <alignment horizontal="left" vertical="center" readingOrder="1"/>
    </xf>
    <xf numFmtId="0" fontId="16" fillId="14" borderId="6" xfId="0" applyFont="1" applyFill="1" applyBorder="1" applyAlignment="1">
      <alignment horizontal="left" vertical="center" readingOrder="1"/>
    </xf>
    <xf numFmtId="164" fontId="16" fillId="21" borderId="6" xfId="1" applyNumberFormat="1" applyFont="1" applyFill="1" applyBorder="1" applyAlignment="1">
      <alignment horizontal="right" vertical="center" readingOrder="1"/>
    </xf>
    <xf numFmtId="164" fontId="16" fillId="7" borderId="6" xfId="1" applyNumberFormat="1" applyFont="1" applyFill="1" applyBorder="1" applyAlignment="1">
      <alignment horizontal="right" vertical="center" readingOrder="1"/>
    </xf>
    <xf numFmtId="164" fontId="16" fillId="36" borderId="6" xfId="1" applyNumberFormat="1" applyFont="1" applyFill="1" applyBorder="1" applyAlignment="1">
      <alignment horizontal="right" vertical="center" readingOrder="1"/>
    </xf>
    <xf numFmtId="164" fontId="16" fillId="20" borderId="6" xfId="1" applyNumberFormat="1" applyFont="1" applyFill="1" applyBorder="1" applyAlignment="1">
      <alignment horizontal="right" vertical="center" readingOrder="1"/>
    </xf>
    <xf numFmtId="164" fontId="16" fillId="17" borderId="6" xfId="1" applyNumberFormat="1" applyFont="1" applyFill="1" applyBorder="1" applyAlignment="1">
      <alignment horizontal="right" vertical="center" readingOrder="1"/>
    </xf>
    <xf numFmtId="0" fontId="16" fillId="0" borderId="0" xfId="0" applyFont="1" applyAlignment="1">
      <alignment vertical="center"/>
    </xf>
    <xf numFmtId="164" fontId="16" fillId="4" borderId="0" xfId="1" applyNumberFormat="1" applyFont="1" applyFill="1" applyBorder="1" applyAlignment="1">
      <alignment horizontal="right" vertical="center" readingOrder="1"/>
    </xf>
    <xf numFmtId="0" fontId="14" fillId="0" borderId="6" xfId="10" applyFont="1" applyBorder="1" applyAlignment="1">
      <alignment horizontal="left" vertical="center" readingOrder="1"/>
    </xf>
    <xf numFmtId="0" fontId="31" fillId="0" borderId="6" xfId="10" applyFont="1" applyBorder="1" applyAlignment="1">
      <alignment horizontal="left" vertical="center" readingOrder="1"/>
    </xf>
    <xf numFmtId="164" fontId="16" fillId="21" borderId="0" xfId="1" applyNumberFormat="1" applyFont="1" applyFill="1" applyBorder="1" applyAlignment="1">
      <alignment horizontal="right" vertical="center" readingOrder="1"/>
    </xf>
    <xf numFmtId="164" fontId="16" fillId="7" borderId="0" xfId="1" applyNumberFormat="1" applyFont="1" applyFill="1" applyBorder="1" applyAlignment="1">
      <alignment horizontal="right" vertical="center" readingOrder="1"/>
    </xf>
    <xf numFmtId="0" fontId="13" fillId="0" borderId="1" xfId="0" applyFont="1" applyBorder="1" applyAlignment="1">
      <alignment vertical="center"/>
    </xf>
    <xf numFmtId="0" fontId="17" fillId="0" borderId="1" xfId="0" applyFont="1" applyBorder="1" applyAlignment="1">
      <alignment vertical="center"/>
    </xf>
    <xf numFmtId="0" fontId="13" fillId="14" borderId="1" xfId="0" applyFont="1" applyFill="1" applyBorder="1" applyAlignment="1">
      <alignment vertical="center"/>
    </xf>
    <xf numFmtId="164" fontId="17" fillId="21" borderId="1" xfId="1" applyNumberFormat="1" applyFont="1" applyFill="1" applyBorder="1" applyAlignment="1">
      <alignment vertical="center"/>
    </xf>
    <xf numFmtId="164" fontId="17" fillId="7" borderId="1" xfId="1" applyNumberFormat="1" applyFont="1" applyFill="1" applyBorder="1" applyAlignment="1">
      <alignment vertical="center"/>
    </xf>
    <xf numFmtId="164" fontId="17" fillId="36" borderId="1" xfId="1" applyNumberFormat="1" applyFont="1" applyFill="1" applyBorder="1" applyAlignment="1">
      <alignment vertical="center"/>
    </xf>
    <xf numFmtId="164" fontId="32" fillId="20" borderId="1" xfId="1" applyNumberFormat="1" applyFont="1" applyFill="1" applyBorder="1" applyAlignment="1">
      <alignment horizontal="right" vertical="center" readingOrder="1"/>
    </xf>
    <xf numFmtId="164" fontId="32" fillId="17" borderId="1" xfId="1" applyNumberFormat="1" applyFont="1" applyFill="1" applyBorder="1" applyAlignment="1">
      <alignment horizontal="right" vertical="center" readingOrder="1"/>
    </xf>
    <xf numFmtId="164" fontId="32" fillId="24" borderId="1" xfId="1" applyNumberFormat="1" applyFont="1" applyFill="1" applyBorder="1" applyAlignment="1">
      <alignment horizontal="right" vertical="center" readingOrder="1"/>
    </xf>
    <xf numFmtId="164" fontId="32" fillId="4" borderId="1" xfId="1" applyNumberFormat="1" applyFont="1" applyFill="1" applyBorder="1" applyAlignment="1">
      <alignment horizontal="right" vertical="center" readingOrder="1"/>
    </xf>
    <xf numFmtId="164" fontId="32" fillId="38" borderId="1" xfId="1" applyNumberFormat="1" applyFont="1" applyFill="1" applyBorder="1" applyAlignment="1">
      <alignment horizontal="right" vertical="center" readingOrder="1"/>
    </xf>
    <xf numFmtId="164" fontId="33" fillId="0" borderId="0" xfId="1" applyNumberFormat="1" applyFont="1" applyBorder="1" applyAlignment="1">
      <alignment vertical="center"/>
    </xf>
    <xf numFmtId="0" fontId="22" fillId="0" borderId="0" xfId="0" applyFont="1" applyAlignment="1">
      <alignment vertical="center"/>
    </xf>
    <xf numFmtId="0" fontId="18" fillId="0" borderId="0" xfId="0" applyFont="1" applyAlignment="1">
      <alignment horizontal="left" vertical="center" indent="1"/>
    </xf>
    <xf numFmtId="164" fontId="18" fillId="0" borderId="0" xfId="1" applyNumberFormat="1" applyFont="1" applyBorder="1" applyAlignment="1">
      <alignment vertical="center"/>
    </xf>
    <xf numFmtId="0" fontId="13" fillId="0" borderId="0" xfId="0" applyFont="1" applyAlignment="1">
      <alignment horizontal="left" vertical="center"/>
    </xf>
    <xf numFmtId="0" fontId="34" fillId="0" borderId="0" xfId="0" applyFont="1" applyAlignment="1">
      <alignment horizontal="left" vertical="center" indent="1"/>
    </xf>
    <xf numFmtId="0" fontId="37" fillId="0" borderId="0" xfId="0" applyFont="1"/>
    <xf numFmtId="164" fontId="13" fillId="0" borderId="0" xfId="0" applyNumberFormat="1" applyFont="1"/>
    <xf numFmtId="0" fontId="16" fillId="0" borderId="0" xfId="0" applyFont="1"/>
    <xf numFmtId="0" fontId="13" fillId="0" borderId="0" xfId="0" applyFont="1" applyAlignment="1">
      <alignment horizontal="right"/>
    </xf>
    <xf numFmtId="0" fontId="18" fillId="0" borderId="0" xfId="0" applyFont="1"/>
    <xf numFmtId="169" fontId="18" fillId="0" borderId="0" xfId="0" applyNumberFormat="1" applyFont="1"/>
    <xf numFmtId="0" fontId="29" fillId="0" borderId="0" xfId="0" applyFont="1"/>
    <xf numFmtId="164" fontId="38" fillId="0" borderId="0" xfId="1" applyNumberFormat="1" applyFont="1"/>
    <xf numFmtId="164" fontId="16" fillId="0" borderId="0" xfId="0" applyNumberFormat="1" applyFont="1"/>
    <xf numFmtId="0" fontId="39" fillId="28" borderId="0" xfId="14" applyFont="1"/>
    <xf numFmtId="0" fontId="39" fillId="0" borderId="0" xfId="0" applyFont="1"/>
    <xf numFmtId="0" fontId="39" fillId="29" borderId="0" xfId="15" applyFont="1"/>
    <xf numFmtId="0" fontId="19" fillId="0" borderId="0" xfId="0" applyFont="1"/>
    <xf numFmtId="0" fontId="39" fillId="0" borderId="0" xfId="0" applyFont="1" applyAlignment="1">
      <alignment horizontal="right"/>
    </xf>
    <xf numFmtId="0" fontId="39" fillId="26" borderId="0" xfId="12" applyFont="1"/>
    <xf numFmtId="0" fontId="40" fillId="0" borderId="0" xfId="0" applyFont="1"/>
    <xf numFmtId="164" fontId="39" fillId="0" borderId="0" xfId="1" applyNumberFormat="1" applyFont="1"/>
    <xf numFmtId="164" fontId="39" fillId="0" borderId="0" xfId="0" applyNumberFormat="1" applyFont="1"/>
    <xf numFmtId="170" fontId="39" fillId="0" borderId="0" xfId="0" applyNumberFormat="1" applyFont="1"/>
    <xf numFmtId="0" fontId="39" fillId="31" borderId="0" xfId="12" applyFont="1" applyFill="1"/>
    <xf numFmtId="0" fontId="41" fillId="0" borderId="0" xfId="0" applyFont="1"/>
    <xf numFmtId="0" fontId="42" fillId="0" borderId="0" xfId="0" applyFont="1"/>
    <xf numFmtId="0" fontId="43" fillId="27" borderId="0" xfId="13" applyFont="1" applyAlignment="1">
      <alignment horizontal="center"/>
    </xf>
    <xf numFmtId="164" fontId="39" fillId="28" borderId="0" xfId="14" applyNumberFormat="1" applyFont="1"/>
    <xf numFmtId="0" fontId="39" fillId="28" borderId="0" xfId="14" applyFont="1" applyAlignment="1">
      <alignment horizontal="center"/>
    </xf>
    <xf numFmtId="0" fontId="39" fillId="7" borderId="0" xfId="0" applyFont="1" applyFill="1"/>
    <xf numFmtId="164" fontId="43" fillId="27" borderId="0" xfId="13" applyNumberFormat="1" applyFont="1"/>
    <xf numFmtId="164" fontId="44" fillId="0" borderId="0" xfId="1" applyNumberFormat="1" applyFont="1"/>
    <xf numFmtId="0" fontId="43" fillId="2" borderId="0" xfId="3" applyFont="1" applyAlignment="1">
      <alignment horizontal="center"/>
    </xf>
    <xf numFmtId="164" fontId="39" fillId="29" borderId="0" xfId="15" applyNumberFormat="1" applyFont="1"/>
    <xf numFmtId="0" fontId="39" fillId="29" borderId="0" xfId="15" applyFont="1" applyAlignment="1">
      <alignment horizontal="center"/>
    </xf>
    <xf numFmtId="164" fontId="19" fillId="0" borderId="0" xfId="1" applyNumberFormat="1" applyFont="1"/>
    <xf numFmtId="164" fontId="39" fillId="0" borderId="0" xfId="1" applyNumberFormat="1" applyFont="1" applyFill="1" applyAlignment="1">
      <alignment horizontal="right"/>
    </xf>
    <xf numFmtId="164" fontId="39" fillId="0" borderId="0" xfId="0" applyNumberFormat="1" applyFont="1" applyAlignment="1">
      <alignment horizontal="right"/>
    </xf>
    <xf numFmtId="0" fontId="39" fillId="5" borderId="0" xfId="0" applyFont="1" applyFill="1"/>
    <xf numFmtId="164" fontId="29" fillId="0" borderId="0" xfId="1" applyNumberFormat="1" applyFont="1"/>
    <xf numFmtId="164" fontId="37" fillId="0" borderId="0" xfId="1" applyNumberFormat="1" applyFont="1" applyAlignment="1">
      <alignment horizontal="right"/>
    </xf>
    <xf numFmtId="164" fontId="37" fillId="0" borderId="0" xfId="0" applyNumberFormat="1" applyFont="1" applyAlignment="1">
      <alignment horizontal="right"/>
    </xf>
    <xf numFmtId="0" fontId="37" fillId="5" borderId="0" xfId="0" applyFont="1" applyFill="1"/>
    <xf numFmtId="164" fontId="37" fillId="5" borderId="0" xfId="0" applyNumberFormat="1" applyFont="1" applyFill="1"/>
    <xf numFmtId="0" fontId="45" fillId="5" borderId="0" xfId="0" applyFont="1" applyFill="1" applyAlignment="1">
      <alignment horizontal="center"/>
    </xf>
    <xf numFmtId="164" fontId="45" fillId="5" borderId="0" xfId="0" applyNumberFormat="1" applyFont="1" applyFill="1"/>
    <xf numFmtId="164" fontId="43" fillId="2" borderId="0" xfId="3" applyNumberFormat="1" applyFont="1"/>
    <xf numFmtId="0" fontId="43" fillId="25" borderId="0" xfId="11" applyFont="1" applyAlignment="1">
      <alignment horizontal="center"/>
    </xf>
    <xf numFmtId="164" fontId="39" fillId="26" borderId="0" xfId="12" applyNumberFormat="1" applyFont="1"/>
    <xf numFmtId="0" fontId="39" fillId="26" borderId="0" xfId="12" applyFont="1" applyAlignment="1">
      <alignment horizontal="center"/>
    </xf>
    <xf numFmtId="164" fontId="19" fillId="0" borderId="0" xfId="1" applyNumberFormat="1" applyFont="1" applyAlignment="1">
      <alignment horizontal="right"/>
    </xf>
    <xf numFmtId="0" fontId="19" fillId="11" borderId="0" xfId="0" applyFont="1" applyFill="1"/>
    <xf numFmtId="164" fontId="19" fillId="0" borderId="0" xfId="1" applyNumberFormat="1" applyFont="1" applyFill="1" applyAlignment="1">
      <alignment horizontal="right"/>
    </xf>
    <xf numFmtId="164" fontId="29" fillId="11" borderId="0" xfId="0" applyNumberFormat="1" applyFont="1" applyFill="1"/>
    <xf numFmtId="164" fontId="19" fillId="0" borderId="0" xfId="1" applyNumberFormat="1" applyFont="1" applyFill="1"/>
    <xf numFmtId="164" fontId="19" fillId="0" borderId="0" xfId="0" applyNumberFormat="1" applyFont="1" applyAlignment="1">
      <alignment horizontal="right"/>
    </xf>
    <xf numFmtId="0" fontId="37" fillId="11" borderId="0" xfId="0" applyFont="1" applyFill="1" applyAlignment="1">
      <alignment horizontal="center"/>
    </xf>
    <xf numFmtId="0" fontId="45" fillId="11" borderId="0" xfId="0" applyFont="1" applyFill="1" applyAlignment="1">
      <alignment horizontal="center"/>
    </xf>
    <xf numFmtId="164" fontId="29" fillId="0" borderId="0" xfId="1" applyNumberFormat="1" applyFont="1" applyAlignment="1">
      <alignment horizontal="right"/>
    </xf>
    <xf numFmtId="164" fontId="45" fillId="11" borderId="0" xfId="0" applyNumberFormat="1" applyFont="1" applyFill="1"/>
    <xf numFmtId="164" fontId="37" fillId="11" borderId="0" xfId="0" applyNumberFormat="1" applyFont="1" applyFill="1"/>
    <xf numFmtId="0" fontId="39" fillId="11" borderId="0" xfId="0" applyFont="1" applyFill="1"/>
    <xf numFmtId="164" fontId="43" fillId="25" borderId="0" xfId="11" applyNumberFormat="1" applyFont="1"/>
    <xf numFmtId="164" fontId="46" fillId="0" borderId="0" xfId="1" applyNumberFormat="1" applyFont="1"/>
    <xf numFmtId="0" fontId="43" fillId="3" borderId="0" xfId="11" applyFont="1" applyFill="1" applyAlignment="1">
      <alignment horizontal="center"/>
    </xf>
    <xf numFmtId="164" fontId="39" fillId="31" borderId="0" xfId="12" applyNumberFormat="1" applyFont="1" applyFill="1"/>
    <xf numFmtId="0" fontId="39" fillId="31" borderId="0" xfId="12" applyFont="1" applyFill="1" applyAlignment="1">
      <alignment horizontal="center"/>
    </xf>
    <xf numFmtId="164" fontId="39" fillId="0" borderId="0" xfId="1" applyNumberFormat="1" applyFont="1" applyAlignment="1">
      <alignment horizontal="right"/>
    </xf>
    <xf numFmtId="0" fontId="39" fillId="4" borderId="0" xfId="0" applyFont="1" applyFill="1"/>
    <xf numFmtId="0" fontId="19" fillId="4" borderId="0" xfId="0" applyFont="1" applyFill="1"/>
    <xf numFmtId="164" fontId="41" fillId="0" borderId="0" xfId="1" applyNumberFormat="1" applyFont="1"/>
    <xf numFmtId="0" fontId="45" fillId="4" borderId="0" xfId="0" applyFont="1" applyFill="1" applyAlignment="1">
      <alignment horizontal="center"/>
    </xf>
    <xf numFmtId="164" fontId="37" fillId="0" borderId="0" xfId="1" applyNumberFormat="1" applyFont="1"/>
    <xf numFmtId="164" fontId="37" fillId="0" borderId="0" xfId="0" applyNumberFormat="1" applyFont="1"/>
    <xf numFmtId="164" fontId="45" fillId="4" borderId="0" xfId="0" applyNumberFormat="1" applyFont="1" applyFill="1"/>
    <xf numFmtId="0" fontId="29" fillId="4" borderId="0" xfId="0" applyFont="1" applyFill="1" applyAlignment="1">
      <alignment horizontal="center"/>
    </xf>
    <xf numFmtId="164" fontId="43" fillId="3" borderId="0" xfId="11" applyNumberFormat="1" applyFont="1" applyFill="1"/>
    <xf numFmtId="164" fontId="41" fillId="0" borderId="0" xfId="1" applyNumberFormat="1" applyFont="1" applyAlignment="1">
      <alignment horizontal="right"/>
    </xf>
    <xf numFmtId="0" fontId="37" fillId="5" borderId="0" xfId="0" applyFont="1" applyFill="1" applyAlignment="1">
      <alignment horizontal="center"/>
    </xf>
    <xf numFmtId="0" fontId="13" fillId="0" borderId="0" xfId="0" applyFont="1" applyAlignment="1">
      <alignment wrapText="1"/>
    </xf>
    <xf numFmtId="0" fontId="47" fillId="0" borderId="0" xfId="0" quotePrefix="1" applyFont="1"/>
    <xf numFmtId="164" fontId="36" fillId="6" borderId="0" xfId="4" applyNumberFormat="1" applyFont="1" applyFill="1"/>
    <xf numFmtId="168" fontId="36" fillId="6" borderId="7" xfId="4" applyNumberFormat="1" applyFont="1" applyFill="1" applyBorder="1" applyAlignment="1">
      <alignment horizontal="center" wrapText="1"/>
    </xf>
    <xf numFmtId="168" fontId="36" fillId="10" borderId="8" xfId="4" applyNumberFormat="1" applyFont="1" applyFill="1" applyBorder="1" applyAlignment="1">
      <alignment horizontal="center" wrapText="1"/>
    </xf>
    <xf numFmtId="168" fontId="36" fillId="13" borderId="8" xfId="4" applyNumberFormat="1" applyFont="1" applyFill="1" applyBorder="1" applyAlignment="1">
      <alignment horizontal="center"/>
    </xf>
    <xf numFmtId="168" fontId="36" fillId="8" borderId="9" xfId="4" applyNumberFormat="1" applyFont="1" applyFill="1" applyBorder="1" applyAlignment="1">
      <alignment horizontal="center" wrapText="1"/>
    </xf>
    <xf numFmtId="168" fontId="13" fillId="5" borderId="10" xfId="2" applyNumberFormat="1" applyFont="1" applyFill="1" applyBorder="1"/>
    <xf numFmtId="168" fontId="13" fillId="11" borderId="0" xfId="2" applyNumberFormat="1" applyFont="1" applyFill="1" applyBorder="1"/>
    <xf numFmtId="168" fontId="13" fillId="14" borderId="0" xfId="2" applyNumberFormat="1" applyFont="1" applyFill="1" applyBorder="1"/>
    <xf numFmtId="168" fontId="13" fillId="7" borderId="11" xfId="2" applyNumberFormat="1" applyFont="1" applyFill="1" applyBorder="1"/>
    <xf numFmtId="164" fontId="15" fillId="6" borderId="0" xfId="4" applyNumberFormat="1" applyFont="1" applyFill="1"/>
    <xf numFmtId="168" fontId="15" fillId="6" borderId="12" xfId="4" applyNumberFormat="1" applyFont="1" applyFill="1" applyBorder="1"/>
    <xf numFmtId="168" fontId="15" fillId="10" borderId="4" xfId="4" applyNumberFormat="1" applyFont="1" applyFill="1" applyBorder="1"/>
    <xf numFmtId="168" fontId="15" fillId="13" borderId="4" xfId="4" applyNumberFormat="1" applyFont="1" applyFill="1" applyBorder="1"/>
    <xf numFmtId="168" fontId="15" fillId="8" borderId="13" xfId="4" applyNumberFormat="1" applyFont="1" applyFill="1" applyBorder="1"/>
    <xf numFmtId="165" fontId="13" fillId="0" borderId="0" xfId="0" applyNumberFormat="1" applyFont="1"/>
    <xf numFmtId="0" fontId="18" fillId="0" borderId="0" xfId="0" applyFont="1" applyAlignment="1">
      <alignment horizontal="left"/>
    </xf>
    <xf numFmtId="165" fontId="18" fillId="0" borderId="0" xfId="2" applyNumberFormat="1" applyFont="1"/>
    <xf numFmtId="165" fontId="18" fillId="0" borderId="2" xfId="2" applyNumberFormat="1" applyFont="1" applyBorder="1"/>
    <xf numFmtId="0" fontId="22" fillId="0" borderId="0" xfId="0" applyFont="1"/>
    <xf numFmtId="0" fontId="22" fillId="0" borderId="0" xfId="0" applyFont="1" applyAlignment="1">
      <alignment horizontal="center"/>
    </xf>
    <xf numFmtId="14" fontId="13" fillId="0" borderId="0" xfId="0" applyNumberFormat="1" applyFont="1" applyAlignment="1">
      <alignment wrapText="1"/>
    </xf>
    <xf numFmtId="166" fontId="48" fillId="0" borderId="0" xfId="2" applyNumberFormat="1" applyFont="1" applyBorder="1" applyAlignment="1">
      <alignment horizontal="center"/>
    </xf>
    <xf numFmtId="166" fontId="13" fillId="0" borderId="0" xfId="0" applyNumberFormat="1" applyFont="1"/>
    <xf numFmtId="0" fontId="36" fillId="9" borderId="0" xfId="0" applyFont="1" applyFill="1"/>
    <xf numFmtId="0" fontId="36" fillId="9" borderId="0" xfId="0" applyFont="1" applyFill="1" applyAlignment="1">
      <alignment horizontal="center"/>
    </xf>
    <xf numFmtId="164" fontId="13" fillId="0" borderId="0" xfId="1" applyNumberFormat="1" applyFont="1" applyBorder="1" applyAlignment="1"/>
    <xf numFmtId="165" fontId="13" fillId="24" borderId="0" xfId="2" applyNumberFormat="1" applyFont="1" applyFill="1" applyBorder="1" applyAlignment="1"/>
    <xf numFmtId="164" fontId="13" fillId="0" borderId="1" xfId="1" applyNumberFormat="1" applyFont="1" applyBorder="1" applyAlignment="1"/>
    <xf numFmtId="165" fontId="13" fillId="24" borderId="1" xfId="0" applyNumberFormat="1" applyFont="1" applyFill="1" applyBorder="1"/>
    <xf numFmtId="165" fontId="36" fillId="19" borderId="1" xfId="0" applyNumberFormat="1" applyFont="1" applyFill="1" applyBorder="1"/>
    <xf numFmtId="167" fontId="13" fillId="0" borderId="0" xfId="0" applyNumberFormat="1" applyFont="1" applyAlignment="1">
      <alignment horizontal="left"/>
    </xf>
    <xf numFmtId="165" fontId="13" fillId="0" borderId="0" xfId="2" applyNumberFormat="1" applyFont="1" applyBorder="1" applyAlignment="1"/>
    <xf numFmtId="44" fontId="13" fillId="0" borderId="0" xfId="2" applyFont="1" applyBorder="1" applyAlignment="1">
      <alignment wrapText="1"/>
    </xf>
    <xf numFmtId="0" fontId="49" fillId="0" borderId="0" xfId="0" applyFont="1"/>
    <xf numFmtId="14" fontId="49" fillId="0" borderId="0" xfId="0" applyNumberFormat="1" applyFont="1"/>
    <xf numFmtId="44" fontId="50" fillId="0" borderId="0" xfId="2" quotePrefix="1" applyFont="1" applyAlignment="1">
      <alignment horizontal="center"/>
    </xf>
    <xf numFmtId="164" fontId="36" fillId="6" borderId="0" xfId="4" applyNumberFormat="1" applyFont="1" applyFill="1" applyAlignment="1">
      <alignment wrapText="1"/>
    </xf>
    <xf numFmtId="164" fontId="36" fillId="6" borderId="0" xfId="4" applyNumberFormat="1" applyFont="1" applyFill="1" applyAlignment="1">
      <alignment horizontal="center" wrapText="1"/>
    </xf>
    <xf numFmtId="44" fontId="36" fillId="13" borderId="0" xfId="2" applyFont="1" applyFill="1" applyAlignment="1">
      <alignment horizontal="center" wrapText="1"/>
    </xf>
    <xf numFmtId="44" fontId="36" fillId="10" borderId="0" xfId="2" applyFont="1" applyFill="1" applyAlignment="1">
      <alignment horizontal="center" wrapText="1"/>
    </xf>
    <xf numFmtId="44" fontId="36" fillId="8" borderId="0" xfId="2" applyFont="1" applyFill="1" applyAlignment="1">
      <alignment horizontal="center" wrapText="1"/>
    </xf>
    <xf numFmtId="44" fontId="36" fillId="33" borderId="0" xfId="2" applyFont="1" applyFill="1" applyAlignment="1">
      <alignment horizontal="center" wrapText="1"/>
    </xf>
    <xf numFmtId="44" fontId="36" fillId="3" borderId="0" xfId="2" applyFont="1" applyFill="1" applyAlignment="1">
      <alignment horizontal="center" wrapText="1"/>
    </xf>
    <xf numFmtId="165" fontId="13" fillId="21" borderId="0" xfId="2" applyNumberFormat="1" applyFont="1" applyFill="1" applyAlignment="1">
      <alignment horizontal="right"/>
    </xf>
    <xf numFmtId="165" fontId="13" fillId="20" borderId="0" xfId="2" applyNumberFormat="1" applyFont="1" applyFill="1" applyAlignment="1">
      <alignment horizontal="right"/>
    </xf>
    <xf numFmtId="165" fontId="13" fillId="35" borderId="0" xfId="2" applyNumberFormat="1" applyFont="1" applyFill="1" applyAlignment="1">
      <alignment horizontal="right"/>
    </xf>
    <xf numFmtId="165" fontId="13" fillId="34" borderId="0" xfId="2" applyNumberFormat="1" applyFont="1" applyFill="1" applyAlignment="1">
      <alignment horizontal="right"/>
    </xf>
    <xf numFmtId="165" fontId="13" fillId="31" borderId="0" xfId="2" applyNumberFormat="1" applyFont="1" applyFill="1" applyAlignment="1">
      <alignment horizontal="right"/>
    </xf>
    <xf numFmtId="164" fontId="13" fillId="21" borderId="0" xfId="1" applyNumberFormat="1" applyFont="1" applyFill="1" applyAlignment="1">
      <alignment horizontal="right"/>
    </xf>
    <xf numFmtId="164" fontId="13" fillId="20" borderId="0" xfId="1" applyNumberFormat="1" applyFont="1" applyFill="1" applyAlignment="1">
      <alignment horizontal="right"/>
    </xf>
    <xf numFmtId="164" fontId="13" fillId="35" borderId="0" xfId="1" applyNumberFormat="1" applyFont="1" applyFill="1" applyAlignment="1">
      <alignment horizontal="right"/>
    </xf>
    <xf numFmtId="164" fontId="13" fillId="34" borderId="0" xfId="1" applyNumberFormat="1" applyFont="1" applyFill="1" applyAlignment="1">
      <alignment horizontal="right"/>
    </xf>
    <xf numFmtId="164" fontId="13" fillId="31" borderId="0" xfId="1" applyNumberFormat="1" applyFont="1" applyFill="1" applyAlignment="1">
      <alignment horizontal="right"/>
    </xf>
    <xf numFmtId="165" fontId="15" fillId="13" borderId="0" xfId="2" applyNumberFormat="1" applyFont="1" applyFill="1"/>
    <xf numFmtId="165" fontId="15" fillId="10" borderId="0" xfId="2" applyNumberFormat="1" applyFont="1" applyFill="1"/>
    <xf numFmtId="165" fontId="15" fillId="8" borderId="0" xfId="2" applyNumberFormat="1" applyFont="1" applyFill="1"/>
    <xf numFmtId="165" fontId="15" fillId="33" borderId="0" xfId="2" applyNumberFormat="1" applyFont="1" applyFill="1"/>
    <xf numFmtId="165" fontId="15" fillId="3" borderId="0" xfId="2" applyNumberFormat="1" applyFont="1" applyFill="1"/>
    <xf numFmtId="44" fontId="18" fillId="0" borderId="0" xfId="2" applyFont="1"/>
    <xf numFmtId="0" fontId="33" fillId="0" borderId="0" xfId="0" applyFont="1"/>
    <xf numFmtId="0" fontId="13" fillId="0" borderId="0" xfId="0" quotePrefix="1" applyFont="1" applyAlignment="1">
      <alignment horizontal="center"/>
    </xf>
    <xf numFmtId="168" fontId="36" fillId="6" borderId="0" xfId="4" applyNumberFormat="1" applyFont="1" applyFill="1" applyAlignment="1">
      <alignment horizontal="center" wrapText="1"/>
    </xf>
    <xf numFmtId="168" fontId="36" fillId="10" borderId="0" xfId="4" applyNumberFormat="1" applyFont="1" applyFill="1" applyAlignment="1">
      <alignment horizontal="center" wrapText="1"/>
    </xf>
    <xf numFmtId="168" fontId="36" fillId="8" borderId="0" xfId="4" applyNumberFormat="1" applyFont="1" applyFill="1" applyAlignment="1">
      <alignment horizontal="center" wrapText="1"/>
    </xf>
    <xf numFmtId="168" fontId="36" fillId="33" borderId="0" xfId="4" applyNumberFormat="1" applyFont="1" applyFill="1" applyAlignment="1">
      <alignment horizontal="center" wrapText="1"/>
    </xf>
    <xf numFmtId="168" fontId="36" fillId="3" borderId="0" xfId="4" applyNumberFormat="1" applyFont="1" applyFill="1" applyAlignment="1">
      <alignment horizontal="center" wrapText="1"/>
    </xf>
    <xf numFmtId="168" fontId="36" fillId="13" borderId="0" xfId="4" applyNumberFormat="1" applyFont="1" applyFill="1" applyAlignment="1">
      <alignment horizontal="center" wrapText="1"/>
    </xf>
    <xf numFmtId="165" fontId="13" fillId="17" borderId="0" xfId="2" applyNumberFormat="1" applyFont="1" applyFill="1"/>
    <xf numFmtId="165" fontId="13" fillId="20" borderId="0" xfId="2" applyNumberFormat="1" applyFont="1" applyFill="1"/>
    <xf numFmtId="165" fontId="13" fillId="35" borderId="0" xfId="2" applyNumberFormat="1" applyFont="1" applyFill="1"/>
    <xf numFmtId="165" fontId="13" fillId="34" borderId="0" xfId="2" applyNumberFormat="1" applyFont="1" applyFill="1"/>
    <xf numFmtId="165" fontId="13" fillId="31" borderId="0" xfId="2" applyNumberFormat="1" applyFont="1" applyFill="1"/>
    <xf numFmtId="165" fontId="13" fillId="21" borderId="0" xfId="2" applyNumberFormat="1" applyFont="1" applyFill="1"/>
    <xf numFmtId="169" fontId="13" fillId="0" borderId="0" xfId="1" applyNumberFormat="1" applyFont="1"/>
    <xf numFmtId="164" fontId="13" fillId="17" borderId="0" xfId="1" applyNumberFormat="1" applyFont="1" applyFill="1"/>
    <xf numFmtId="164" fontId="13" fillId="20" borderId="0" xfId="1" applyNumberFormat="1" applyFont="1" applyFill="1"/>
    <xf numFmtId="164" fontId="13" fillId="35" borderId="0" xfId="1" applyNumberFormat="1" applyFont="1" applyFill="1"/>
    <xf numFmtId="164" fontId="13" fillId="34" borderId="0" xfId="1" applyNumberFormat="1" applyFont="1" applyFill="1"/>
    <xf numFmtId="164" fontId="13" fillId="31" borderId="0" xfId="1" applyNumberFormat="1" applyFont="1" applyFill="1"/>
    <xf numFmtId="164" fontId="13" fillId="21" borderId="0" xfId="1" applyNumberFormat="1" applyFont="1" applyFill="1"/>
    <xf numFmtId="165" fontId="15" fillId="6" borderId="0" xfId="4" applyNumberFormat="1" applyFont="1" applyFill="1"/>
    <xf numFmtId="165" fontId="15" fillId="10" borderId="0" xfId="4" applyNumberFormat="1" applyFont="1" applyFill="1"/>
    <xf numFmtId="165" fontId="15" fillId="8" borderId="0" xfId="4" applyNumberFormat="1" applyFont="1" applyFill="1"/>
    <xf numFmtId="165" fontId="15" fillId="33" borderId="0" xfId="4" applyNumberFormat="1" applyFont="1" applyFill="1"/>
    <xf numFmtId="165" fontId="15" fillId="3" borderId="0" xfId="4" applyNumberFormat="1" applyFont="1" applyFill="1"/>
    <xf numFmtId="165" fontId="15" fillId="13" borderId="0" xfId="4" applyNumberFormat="1" applyFont="1" applyFill="1"/>
    <xf numFmtId="165" fontId="18" fillId="0" borderId="0" xfId="0" applyNumberFormat="1" applyFont="1"/>
    <xf numFmtId="0" fontId="51" fillId="0" borderId="0" xfId="16" applyFont="1"/>
    <xf numFmtId="0" fontId="35" fillId="27" borderId="0" xfId="13" applyFont="1" applyAlignment="1">
      <alignment horizontal="center" vertical="center" textRotation="255"/>
    </xf>
    <xf numFmtId="164" fontId="43" fillId="27" borderId="0" xfId="13" applyNumberFormat="1" applyFont="1" applyAlignment="1">
      <alignment horizontal="center" vertical="center"/>
    </xf>
    <xf numFmtId="0" fontId="35" fillId="2" borderId="0" xfId="3" applyFont="1" applyAlignment="1">
      <alignment horizontal="center" vertical="center" textRotation="255"/>
    </xf>
    <xf numFmtId="164" fontId="43" fillId="2" borderId="0" xfId="3" applyNumberFormat="1" applyFont="1" applyAlignment="1">
      <alignment horizontal="center" vertical="center"/>
    </xf>
    <xf numFmtId="0" fontId="35" fillId="10" borderId="0" xfId="3" applyFont="1" applyFill="1" applyAlignment="1">
      <alignment horizontal="center" vertical="center" textRotation="255"/>
    </xf>
    <xf numFmtId="164" fontId="43" fillId="25" borderId="0" xfId="11" applyNumberFormat="1" applyFont="1" applyAlignment="1">
      <alignment horizontal="center" vertical="center"/>
    </xf>
    <xf numFmtId="0" fontId="35" fillId="3" borderId="0" xfId="3" applyFont="1" applyFill="1" applyAlignment="1">
      <alignment horizontal="center" vertical="center" textRotation="255"/>
    </xf>
    <xf numFmtId="164" fontId="43" fillId="3" borderId="0" xfId="11" applyNumberFormat="1" applyFont="1" applyFill="1" applyAlignment="1">
      <alignment horizontal="center" vertical="center"/>
    </xf>
    <xf numFmtId="164" fontId="25" fillId="38" borderId="6" xfId="1" applyNumberFormat="1" applyFont="1" applyFill="1" applyBorder="1" applyAlignment="1">
      <alignment horizontal="right" vertical="center" readingOrder="1"/>
    </xf>
    <xf numFmtId="0" fontId="52" fillId="0" borderId="0" xfId="0" pivotButton="1" applyFont="1"/>
    <xf numFmtId="0" fontId="52" fillId="0" borderId="0" xfId="0" applyFont="1" applyAlignment="1">
      <alignment horizontal="right"/>
    </xf>
    <xf numFmtId="0" fontId="52" fillId="0" borderId="0" xfId="0" applyFont="1" applyAlignment="1">
      <alignment horizontal="left"/>
    </xf>
    <xf numFmtId="3" fontId="52" fillId="0" borderId="0" xfId="0" applyNumberFormat="1" applyFont="1" applyAlignment="1">
      <alignment horizontal="right"/>
    </xf>
    <xf numFmtId="0" fontId="52" fillId="0" borderId="0" xfId="0" applyFont="1" applyAlignment="1">
      <alignment horizontal="left" indent="1"/>
    </xf>
  </cellXfs>
  <cellStyles count="19">
    <cellStyle name="40% - Accent1" xfId="12" builtinId="31"/>
    <cellStyle name="40% - Accent3" xfId="4" builtinId="39"/>
    <cellStyle name="40% - Accent4" xfId="14" builtinId="43"/>
    <cellStyle name="40% - Accent5" xfId="15" builtinId="47"/>
    <cellStyle name="Accent1" xfId="11" builtinId="29"/>
    <cellStyle name="Accent2" xfId="5" builtinId="33"/>
    <cellStyle name="Accent3" xfId="9" builtinId="37"/>
    <cellStyle name="Accent4" xfId="13" builtinId="41"/>
    <cellStyle name="Accent5" xfId="3" builtinId="45"/>
    <cellStyle name="APPS_DEG_Basic_White_Cell_Amount" xfId="17" xr:uid="{7EABB1BF-23AD-4DE9-9EF8-0F50A52DBDC9}"/>
    <cellStyle name="APPS_FormEntry_noborder" xfId="6" xr:uid="{EE5CD5B0-8E1E-4EAB-8BDD-ECDB51721DA7}"/>
    <cellStyle name="Comma" xfId="1" builtinId="3"/>
    <cellStyle name="Currency" xfId="2" builtinId="4"/>
    <cellStyle name="Explanatory Text" xfId="16" builtinId="53"/>
    <cellStyle name="Hyperlink" xfId="10" builtinId="8"/>
    <cellStyle name="Normal" xfId="0" builtinId="0"/>
    <cellStyle name="Normal 3" xfId="18" xr:uid="{0BE0A45E-C5C2-4D4B-BC9F-5F2F6631FDFB}"/>
    <cellStyle name="Percent" xfId="7" builtinId="5"/>
    <cellStyle name="wr_6" xfId="8" xr:uid="{BE1B80FF-AE88-4CBE-B42C-9E9B452B9C7F}"/>
  </cellStyles>
  <dxfs count="30">
    <dxf>
      <alignment horizontal="right"/>
    </dxf>
    <dxf>
      <alignment horizontal="right"/>
    </dxf>
    <dxf>
      <font>
        <name val="Aptos"/>
        <scheme val="none"/>
      </font>
    </dxf>
    <dxf>
      <font>
        <name val="Aptos"/>
        <scheme val="none"/>
      </font>
    </dxf>
    <dxf>
      <font>
        <name val="Aptos"/>
        <scheme val="none"/>
      </font>
    </dxf>
    <dxf>
      <font>
        <name val="Aptos"/>
        <scheme val="none"/>
      </font>
    </dxf>
    <dxf>
      <font>
        <name val="Aptos"/>
        <scheme val="none"/>
      </font>
    </dxf>
    <dxf>
      <font>
        <name val="Aptos"/>
        <scheme val="none"/>
      </font>
    </dxf>
    <dxf>
      <font>
        <name val="Aptos"/>
        <scheme val="none"/>
      </font>
    </dxf>
    <dxf>
      <font>
        <name val="Aptos"/>
        <scheme val="none"/>
      </font>
    </dxf>
    <dxf>
      <font>
        <name val="Aptos"/>
        <scheme val="none"/>
      </font>
    </dxf>
    <dxf>
      <font>
        <name val="Aptos"/>
        <scheme val="none"/>
      </font>
    </dxf>
    <dxf>
      <font>
        <name val="Aptos"/>
        <scheme val="none"/>
      </font>
    </dxf>
    <dxf>
      <fill>
        <patternFill>
          <bgColor rgb="FFFFFFCC"/>
        </patternFill>
      </fill>
    </dxf>
    <dxf>
      <fill>
        <patternFill>
          <bgColor rgb="FFFFFFCC"/>
        </patternFill>
      </fill>
    </dxf>
    <dxf>
      <fill>
        <patternFill>
          <bgColor rgb="FFFFFFCC"/>
        </patternFill>
      </fill>
    </dxf>
    <dxf>
      <fill>
        <patternFill>
          <bgColor rgb="FFFFFFCC"/>
        </patternFill>
      </fill>
    </dxf>
    <dxf>
      <font>
        <name val="Aptos"/>
        <scheme val="none"/>
      </font>
    </dxf>
    <dxf>
      <font>
        <name val="Aptos"/>
        <scheme val="none"/>
      </font>
    </dxf>
    <dxf>
      <font>
        <name val="Aptos"/>
        <scheme val="none"/>
      </font>
    </dxf>
    <dxf>
      <font>
        <name val="Aptos"/>
        <scheme val="none"/>
      </font>
    </dxf>
    <dxf>
      <font>
        <name val="Aptos"/>
        <scheme val="none"/>
      </font>
    </dxf>
    <dxf>
      <font>
        <name val="Aptos"/>
        <scheme val="none"/>
      </font>
    </dxf>
    <dxf>
      <font>
        <name val="Aptos"/>
        <scheme val="none"/>
      </font>
    </dxf>
    <dxf>
      <font>
        <name val="Aptos"/>
        <scheme val="none"/>
      </font>
    </dxf>
    <dxf>
      <font>
        <name val="Aptos"/>
        <scheme val="none"/>
      </font>
    </dxf>
    <dxf>
      <font>
        <name val="Aptos"/>
        <scheme val="none"/>
      </font>
    </dxf>
    <dxf>
      <font>
        <name val="Aptos"/>
        <scheme val="none"/>
      </font>
    </dxf>
    <dxf>
      <alignment horizontal="right"/>
    </dxf>
    <dxf>
      <alignment horizontal="right"/>
    </dxf>
  </dxfs>
  <tableStyles count="0" defaultTableStyle="TableStyleMedium2" defaultPivotStyle="PivotStyleLight16"/>
  <colors>
    <mruColors>
      <color rgb="FFFF66CC"/>
      <color rgb="FFFFFF93"/>
      <color rgb="FFFFFFCC"/>
      <color rgb="FF9933FF"/>
      <color rgb="FFFFCCFF"/>
      <color rgb="FF006699"/>
      <color rgb="FF008080"/>
      <color rgb="FF918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microsoft.com/office/2007/relationships/slicerCache" Target="slicerCaches/slicerCache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microsoft.com/office/2007/relationships/slicerCache" Target="slicerCaches/slicerCache4.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microsoft.com/office/2007/relationships/slicerCache" Target="slicerCaches/slicerCache2.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pivotCacheDefinition" Target="pivotCache/pivotCacheDefinition1.xml"/><Relationship Id="rId9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microsoft.com/office/2007/relationships/slicerCache" Target="slicerCaches/slicerCach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0.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0" Type="http://schemas.openxmlformats.org/officeDocument/2006/relationships/image" Target="../media/image33.png"/><Relationship Id="rId4" Type="http://schemas.openxmlformats.org/officeDocument/2006/relationships/image" Target="../media/image27.png"/><Relationship Id="rId9" Type="http://schemas.openxmlformats.org/officeDocument/2006/relationships/image" Target="../media/image32.png"/></Relationships>
</file>

<file path=xl/drawings/_rels/drawing12.xml.rels><?xml version="1.0" encoding="UTF-8" standalone="yes"?>
<Relationships xmlns="http://schemas.openxmlformats.org/package/2006/relationships"><Relationship Id="rId8" Type="http://schemas.openxmlformats.org/officeDocument/2006/relationships/image" Target="../media/image42.png"/><Relationship Id="rId13" Type="http://schemas.openxmlformats.org/officeDocument/2006/relationships/image" Target="../media/image47.png"/><Relationship Id="rId3" Type="http://schemas.openxmlformats.org/officeDocument/2006/relationships/image" Target="../media/image37.png"/><Relationship Id="rId7" Type="http://schemas.openxmlformats.org/officeDocument/2006/relationships/image" Target="../media/image41.png"/><Relationship Id="rId12" Type="http://schemas.openxmlformats.org/officeDocument/2006/relationships/image" Target="../media/image46.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11" Type="http://schemas.openxmlformats.org/officeDocument/2006/relationships/image" Target="../media/image45.png"/><Relationship Id="rId5" Type="http://schemas.openxmlformats.org/officeDocument/2006/relationships/image" Target="../media/image39.png"/><Relationship Id="rId10" Type="http://schemas.openxmlformats.org/officeDocument/2006/relationships/image" Target="../media/image44.png"/><Relationship Id="rId4" Type="http://schemas.openxmlformats.org/officeDocument/2006/relationships/image" Target="../media/image38.png"/><Relationship Id="rId9" Type="http://schemas.openxmlformats.org/officeDocument/2006/relationships/image" Target="../media/image4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29937</xdr:colOff>
      <xdr:row>20</xdr:row>
      <xdr:rowOff>121104</xdr:rowOff>
    </xdr:from>
    <xdr:to>
      <xdr:col>7</xdr:col>
      <xdr:colOff>1076325</xdr:colOff>
      <xdr:row>23</xdr:row>
      <xdr:rowOff>66676</xdr:rowOff>
    </xdr:to>
    <xdr:sp macro="" textlink="">
      <xdr:nvSpPr>
        <xdr:cNvPr id="2" name="TextBox 1">
          <a:extLst>
            <a:ext uri="{FF2B5EF4-FFF2-40B4-BE49-F238E27FC236}">
              <a16:creationId xmlns:a16="http://schemas.microsoft.com/office/drawing/2014/main" id="{9A062AE8-EF94-46D2-1C7F-15F1CFBDDB5B}"/>
            </a:ext>
          </a:extLst>
        </xdr:cNvPr>
        <xdr:cNvSpPr txBox="1"/>
      </xdr:nvSpPr>
      <xdr:spPr>
        <a:xfrm>
          <a:off x="29937" y="6474279"/>
          <a:ext cx="5504088" cy="4884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a:latin typeface="Aptos" panose="020B0004020202020204" pitchFamily="34" charset="0"/>
            </a:rPr>
            <a:t>Estimated funded projects is anticipated</a:t>
          </a:r>
          <a:r>
            <a:rPr lang="en-US" sz="1050" baseline="0">
              <a:latin typeface="Aptos" panose="020B0004020202020204" pitchFamily="34" charset="0"/>
            </a:rPr>
            <a:t> </a:t>
          </a:r>
          <a:r>
            <a:rPr lang="en-US" sz="1050">
              <a:latin typeface="Aptos" panose="020B0004020202020204" pitchFamily="34" charset="0"/>
            </a:rPr>
            <a:t>funding to be transferred back to the school for approved FRP projects from FRP program funds. </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95250</xdr:colOff>
      <xdr:row>1</xdr:row>
      <xdr:rowOff>47625</xdr:rowOff>
    </xdr:from>
    <xdr:to>
      <xdr:col>17</xdr:col>
      <xdr:colOff>553339</xdr:colOff>
      <xdr:row>10</xdr:row>
      <xdr:rowOff>124034</xdr:rowOff>
    </xdr:to>
    <xdr:pic>
      <xdr:nvPicPr>
        <xdr:cNvPr id="2" name="Picture 1">
          <a:extLst>
            <a:ext uri="{FF2B5EF4-FFF2-40B4-BE49-F238E27FC236}">
              <a16:creationId xmlns:a16="http://schemas.microsoft.com/office/drawing/2014/main" id="{8BE9A7AD-35B2-3C00-34E9-DB60438DEBA7}"/>
            </a:ext>
          </a:extLst>
        </xdr:cNvPr>
        <xdr:cNvPicPr>
          <a:picLocks noChangeAspect="1"/>
        </xdr:cNvPicPr>
      </xdr:nvPicPr>
      <xdr:blipFill>
        <a:blip xmlns:r="http://schemas.openxmlformats.org/officeDocument/2006/relationships" r:embed="rId1"/>
        <a:stretch>
          <a:fillRect/>
        </a:stretch>
      </xdr:blipFill>
      <xdr:spPr>
        <a:xfrm>
          <a:off x="6353175" y="228600"/>
          <a:ext cx="6373114" cy="1705213"/>
        </a:xfrm>
        <a:prstGeom prst="rect">
          <a:avLst/>
        </a:prstGeom>
        <a:ln>
          <a:solidFill>
            <a:schemeClr val="tx2"/>
          </a:solidFill>
        </a:ln>
      </xdr:spPr>
    </xdr:pic>
    <xdr:clientData/>
  </xdr:twoCellAnchor>
  <xdr:twoCellAnchor editAs="oneCell">
    <xdr:from>
      <xdr:col>8</xdr:col>
      <xdr:colOff>103414</xdr:colOff>
      <xdr:row>11</xdr:row>
      <xdr:rowOff>20410</xdr:rowOff>
    </xdr:from>
    <xdr:to>
      <xdr:col>17</xdr:col>
      <xdr:colOff>561510</xdr:colOff>
      <xdr:row>20</xdr:row>
      <xdr:rowOff>48962</xdr:rowOff>
    </xdr:to>
    <xdr:pic>
      <xdr:nvPicPr>
        <xdr:cNvPr id="3" name="Picture 2">
          <a:extLst>
            <a:ext uri="{FF2B5EF4-FFF2-40B4-BE49-F238E27FC236}">
              <a16:creationId xmlns:a16="http://schemas.microsoft.com/office/drawing/2014/main" id="{FE95206B-AA5D-E0BE-1E4C-7418D6D1D0F2}"/>
            </a:ext>
          </a:extLst>
        </xdr:cNvPr>
        <xdr:cNvPicPr>
          <a:picLocks noChangeAspect="1"/>
        </xdr:cNvPicPr>
      </xdr:nvPicPr>
      <xdr:blipFill>
        <a:blip xmlns:r="http://schemas.openxmlformats.org/officeDocument/2006/relationships" r:embed="rId2"/>
        <a:stretch>
          <a:fillRect/>
        </a:stretch>
      </xdr:blipFill>
      <xdr:spPr>
        <a:xfrm>
          <a:off x="6361339" y="2011135"/>
          <a:ext cx="6379901" cy="1655990"/>
        </a:xfrm>
        <a:prstGeom prst="rect">
          <a:avLst/>
        </a:prstGeom>
        <a:ln>
          <a:solidFill>
            <a:schemeClr val="accent5"/>
          </a:solidFill>
        </a:ln>
      </xdr:spPr>
    </xdr:pic>
    <xdr:clientData/>
  </xdr:twoCellAnchor>
  <xdr:twoCellAnchor editAs="oneCell">
    <xdr:from>
      <xdr:col>8</xdr:col>
      <xdr:colOff>95251</xdr:colOff>
      <xdr:row>20</xdr:row>
      <xdr:rowOff>114300</xdr:rowOff>
    </xdr:from>
    <xdr:to>
      <xdr:col>17</xdr:col>
      <xdr:colOff>542905</xdr:colOff>
      <xdr:row>29</xdr:row>
      <xdr:rowOff>173045</xdr:rowOff>
    </xdr:to>
    <xdr:pic>
      <xdr:nvPicPr>
        <xdr:cNvPr id="4" name="Picture 3">
          <a:extLst>
            <a:ext uri="{FF2B5EF4-FFF2-40B4-BE49-F238E27FC236}">
              <a16:creationId xmlns:a16="http://schemas.microsoft.com/office/drawing/2014/main" id="{5CBF700D-8543-2B37-53F1-B9A99B291108}"/>
            </a:ext>
          </a:extLst>
        </xdr:cNvPr>
        <xdr:cNvPicPr>
          <a:picLocks noChangeAspect="1"/>
        </xdr:cNvPicPr>
      </xdr:nvPicPr>
      <xdr:blipFill>
        <a:blip xmlns:r="http://schemas.openxmlformats.org/officeDocument/2006/relationships" r:embed="rId3"/>
        <a:stretch>
          <a:fillRect/>
        </a:stretch>
      </xdr:blipFill>
      <xdr:spPr>
        <a:xfrm>
          <a:off x="6353176" y="3733800"/>
          <a:ext cx="6362700" cy="1687520"/>
        </a:xfrm>
        <a:prstGeom prst="rect">
          <a:avLst/>
        </a:prstGeom>
        <a:ln>
          <a:solidFill>
            <a:schemeClr val="accent5"/>
          </a:solidFill>
        </a:ln>
      </xdr:spPr>
    </xdr:pic>
    <xdr:clientData/>
  </xdr:twoCellAnchor>
  <xdr:twoCellAnchor editAs="oneCell">
    <xdr:from>
      <xdr:col>8</xdr:col>
      <xdr:colOff>76200</xdr:colOff>
      <xdr:row>30</xdr:row>
      <xdr:rowOff>106136</xdr:rowOff>
    </xdr:from>
    <xdr:to>
      <xdr:col>17</xdr:col>
      <xdr:colOff>560635</xdr:colOff>
      <xdr:row>39</xdr:row>
      <xdr:rowOff>121313</xdr:rowOff>
    </xdr:to>
    <xdr:pic>
      <xdr:nvPicPr>
        <xdr:cNvPr id="5" name="Picture 4">
          <a:extLst>
            <a:ext uri="{FF2B5EF4-FFF2-40B4-BE49-F238E27FC236}">
              <a16:creationId xmlns:a16="http://schemas.microsoft.com/office/drawing/2014/main" id="{00102326-82DD-EA31-0633-9D56AABB95C0}"/>
            </a:ext>
          </a:extLst>
        </xdr:cNvPr>
        <xdr:cNvPicPr>
          <a:picLocks noChangeAspect="1"/>
        </xdr:cNvPicPr>
      </xdr:nvPicPr>
      <xdr:blipFill>
        <a:blip xmlns:r="http://schemas.openxmlformats.org/officeDocument/2006/relationships" r:embed="rId4"/>
        <a:stretch>
          <a:fillRect/>
        </a:stretch>
      </xdr:blipFill>
      <xdr:spPr>
        <a:xfrm>
          <a:off x="6334125" y="5535386"/>
          <a:ext cx="6400800" cy="1648055"/>
        </a:xfrm>
        <a:prstGeom prst="rect">
          <a:avLst/>
        </a:prstGeom>
        <a:ln>
          <a:solidFill>
            <a:schemeClr val="accent5"/>
          </a:solidFill>
        </a:ln>
      </xdr:spPr>
    </xdr:pic>
    <xdr:clientData/>
  </xdr:twoCellAnchor>
  <xdr:twoCellAnchor editAs="oneCell">
    <xdr:from>
      <xdr:col>8</xdr:col>
      <xdr:colOff>68035</xdr:colOff>
      <xdr:row>40</xdr:row>
      <xdr:rowOff>74839</xdr:rowOff>
    </xdr:from>
    <xdr:to>
      <xdr:col>17</xdr:col>
      <xdr:colOff>549729</xdr:colOff>
      <xdr:row>49</xdr:row>
      <xdr:rowOff>104412</xdr:rowOff>
    </xdr:to>
    <xdr:pic>
      <xdr:nvPicPr>
        <xdr:cNvPr id="6" name="Picture 5">
          <a:extLst>
            <a:ext uri="{FF2B5EF4-FFF2-40B4-BE49-F238E27FC236}">
              <a16:creationId xmlns:a16="http://schemas.microsoft.com/office/drawing/2014/main" id="{E28947CF-63BD-4312-901B-3860C1DCC9F8}"/>
            </a:ext>
          </a:extLst>
        </xdr:cNvPr>
        <xdr:cNvPicPr>
          <a:picLocks noChangeAspect="1"/>
        </xdr:cNvPicPr>
      </xdr:nvPicPr>
      <xdr:blipFill>
        <a:blip xmlns:r="http://schemas.openxmlformats.org/officeDocument/2006/relationships" r:embed="rId5"/>
        <a:stretch>
          <a:fillRect/>
        </a:stretch>
      </xdr:blipFill>
      <xdr:spPr>
        <a:xfrm>
          <a:off x="6325960" y="7313839"/>
          <a:ext cx="6402161" cy="1658329"/>
        </a:xfrm>
        <a:prstGeom prst="rect">
          <a:avLst/>
        </a:prstGeom>
        <a:ln>
          <a:solidFill>
            <a:schemeClr val="accent1"/>
          </a:solidFill>
        </a:ln>
      </xdr:spPr>
    </xdr:pic>
    <xdr:clientData/>
  </xdr:twoCellAnchor>
  <xdr:twoCellAnchor editAs="oneCell">
    <xdr:from>
      <xdr:col>8</xdr:col>
      <xdr:colOff>63954</xdr:colOff>
      <xdr:row>50</xdr:row>
      <xdr:rowOff>73479</xdr:rowOff>
    </xdr:from>
    <xdr:to>
      <xdr:col>17</xdr:col>
      <xdr:colOff>541077</xdr:colOff>
      <xdr:row>59</xdr:row>
      <xdr:rowOff>111812</xdr:rowOff>
    </xdr:to>
    <xdr:pic>
      <xdr:nvPicPr>
        <xdr:cNvPr id="7" name="Picture 6">
          <a:extLst>
            <a:ext uri="{FF2B5EF4-FFF2-40B4-BE49-F238E27FC236}">
              <a16:creationId xmlns:a16="http://schemas.microsoft.com/office/drawing/2014/main" id="{C895FE60-97E5-E1B5-792D-D8DFBBB2B0A0}"/>
            </a:ext>
          </a:extLst>
        </xdr:cNvPr>
        <xdr:cNvPicPr>
          <a:picLocks noChangeAspect="1"/>
        </xdr:cNvPicPr>
      </xdr:nvPicPr>
      <xdr:blipFill>
        <a:blip xmlns:r="http://schemas.openxmlformats.org/officeDocument/2006/relationships" r:embed="rId6"/>
        <a:stretch>
          <a:fillRect/>
        </a:stretch>
      </xdr:blipFill>
      <xdr:spPr>
        <a:xfrm>
          <a:off x="6321879" y="9122229"/>
          <a:ext cx="6392167" cy="1667108"/>
        </a:xfrm>
        <a:prstGeom prst="rect">
          <a:avLst/>
        </a:prstGeom>
        <a:ln>
          <a:solidFill>
            <a:schemeClr val="accent1"/>
          </a:solidFill>
        </a:ln>
      </xdr:spPr>
    </xdr:pic>
    <xdr:clientData/>
  </xdr:twoCellAnchor>
  <xdr:twoCellAnchor editAs="oneCell">
    <xdr:from>
      <xdr:col>8</xdr:col>
      <xdr:colOff>123825</xdr:colOff>
      <xdr:row>60</xdr:row>
      <xdr:rowOff>106136</xdr:rowOff>
    </xdr:from>
    <xdr:to>
      <xdr:col>17</xdr:col>
      <xdr:colOff>531562</xdr:colOff>
      <xdr:row>69</xdr:row>
      <xdr:rowOff>132221</xdr:rowOff>
    </xdr:to>
    <xdr:pic>
      <xdr:nvPicPr>
        <xdr:cNvPr id="8" name="Picture 7">
          <a:extLst>
            <a:ext uri="{FF2B5EF4-FFF2-40B4-BE49-F238E27FC236}">
              <a16:creationId xmlns:a16="http://schemas.microsoft.com/office/drawing/2014/main" id="{C4C73F47-2DAB-3F62-E0FE-565F23E6D003}"/>
            </a:ext>
          </a:extLst>
        </xdr:cNvPr>
        <xdr:cNvPicPr>
          <a:picLocks noChangeAspect="1"/>
        </xdr:cNvPicPr>
      </xdr:nvPicPr>
      <xdr:blipFill>
        <a:blip xmlns:r="http://schemas.openxmlformats.org/officeDocument/2006/relationships" r:embed="rId7"/>
        <a:stretch>
          <a:fillRect/>
        </a:stretch>
      </xdr:blipFill>
      <xdr:spPr>
        <a:xfrm>
          <a:off x="6381750" y="10964636"/>
          <a:ext cx="6322762" cy="1654860"/>
        </a:xfrm>
        <a:prstGeom prst="rect">
          <a:avLst/>
        </a:prstGeom>
        <a:ln>
          <a:solidFill>
            <a:schemeClr val="accent1"/>
          </a:solidFill>
        </a:ln>
      </xdr:spPr>
    </xdr:pic>
    <xdr:clientData/>
  </xdr:twoCellAnchor>
  <xdr:twoCellAnchor editAs="oneCell">
    <xdr:from>
      <xdr:col>8</xdr:col>
      <xdr:colOff>123825</xdr:colOff>
      <xdr:row>70</xdr:row>
      <xdr:rowOff>104775</xdr:rowOff>
    </xdr:from>
    <xdr:to>
      <xdr:col>17</xdr:col>
      <xdr:colOff>569667</xdr:colOff>
      <xdr:row>79</xdr:row>
      <xdr:rowOff>149912</xdr:rowOff>
    </xdr:to>
    <xdr:pic>
      <xdr:nvPicPr>
        <xdr:cNvPr id="9" name="Picture 8">
          <a:extLst>
            <a:ext uri="{FF2B5EF4-FFF2-40B4-BE49-F238E27FC236}">
              <a16:creationId xmlns:a16="http://schemas.microsoft.com/office/drawing/2014/main" id="{3BF3E1CD-C3DF-18AD-A90C-6B44925226D7}"/>
            </a:ext>
          </a:extLst>
        </xdr:cNvPr>
        <xdr:cNvPicPr>
          <a:picLocks noChangeAspect="1"/>
        </xdr:cNvPicPr>
      </xdr:nvPicPr>
      <xdr:blipFill>
        <a:blip xmlns:r="http://schemas.openxmlformats.org/officeDocument/2006/relationships" r:embed="rId8"/>
        <a:stretch>
          <a:fillRect/>
        </a:stretch>
      </xdr:blipFill>
      <xdr:spPr>
        <a:xfrm>
          <a:off x="6381750" y="12773025"/>
          <a:ext cx="6360867" cy="1673912"/>
        </a:xfrm>
        <a:prstGeom prst="rect">
          <a:avLst/>
        </a:prstGeom>
        <a:ln>
          <a:solidFill>
            <a:schemeClr val="accent1"/>
          </a:solidFill>
        </a:ln>
      </xdr:spPr>
    </xdr:pic>
    <xdr:clientData/>
  </xdr:twoCellAnchor>
  <xdr:twoCellAnchor editAs="oneCell">
    <xdr:from>
      <xdr:col>8</xdr:col>
      <xdr:colOff>123825</xdr:colOff>
      <xdr:row>80</xdr:row>
      <xdr:rowOff>76200</xdr:rowOff>
    </xdr:from>
    <xdr:to>
      <xdr:col>17</xdr:col>
      <xdr:colOff>571027</xdr:colOff>
      <xdr:row>89</xdr:row>
      <xdr:rowOff>122692</xdr:rowOff>
    </xdr:to>
    <xdr:pic>
      <xdr:nvPicPr>
        <xdr:cNvPr id="10" name="Picture 9">
          <a:extLst>
            <a:ext uri="{FF2B5EF4-FFF2-40B4-BE49-F238E27FC236}">
              <a16:creationId xmlns:a16="http://schemas.microsoft.com/office/drawing/2014/main" id="{447A87B3-E2B4-74FF-56C4-0286F52254EF}"/>
            </a:ext>
          </a:extLst>
        </xdr:cNvPr>
        <xdr:cNvPicPr>
          <a:picLocks noChangeAspect="1"/>
        </xdr:cNvPicPr>
      </xdr:nvPicPr>
      <xdr:blipFill>
        <a:blip xmlns:r="http://schemas.openxmlformats.org/officeDocument/2006/relationships" r:embed="rId9"/>
        <a:stretch>
          <a:fillRect/>
        </a:stretch>
      </xdr:blipFill>
      <xdr:spPr>
        <a:xfrm>
          <a:off x="6381750" y="14554200"/>
          <a:ext cx="6362227" cy="1675273"/>
        </a:xfrm>
        <a:prstGeom prst="rect">
          <a:avLst/>
        </a:prstGeom>
        <a:ln>
          <a:solidFill>
            <a:schemeClr val="accent1"/>
          </a:solidFill>
        </a:ln>
      </xdr:spPr>
    </xdr:pic>
    <xdr:clientData/>
  </xdr:twoCellAnchor>
  <xdr:twoCellAnchor editAs="oneCell">
    <xdr:from>
      <xdr:col>8</xdr:col>
      <xdr:colOff>144237</xdr:colOff>
      <xdr:row>90</xdr:row>
      <xdr:rowOff>122464</xdr:rowOff>
    </xdr:from>
    <xdr:to>
      <xdr:col>17</xdr:col>
      <xdr:colOff>302080</xdr:colOff>
      <xdr:row>104</xdr:row>
      <xdr:rowOff>21487</xdr:rowOff>
    </xdr:to>
    <xdr:pic>
      <xdr:nvPicPr>
        <xdr:cNvPr id="11" name="Picture 10">
          <a:extLst>
            <a:ext uri="{FF2B5EF4-FFF2-40B4-BE49-F238E27FC236}">
              <a16:creationId xmlns:a16="http://schemas.microsoft.com/office/drawing/2014/main" id="{6BE5E976-78CA-6141-4DEC-01D04868996F}"/>
            </a:ext>
          </a:extLst>
        </xdr:cNvPr>
        <xdr:cNvPicPr>
          <a:picLocks noChangeAspect="1"/>
        </xdr:cNvPicPr>
      </xdr:nvPicPr>
      <xdr:blipFill>
        <a:blip xmlns:r="http://schemas.openxmlformats.org/officeDocument/2006/relationships" r:embed="rId10"/>
        <a:stretch>
          <a:fillRect/>
        </a:stretch>
      </xdr:blipFill>
      <xdr:spPr>
        <a:xfrm>
          <a:off x="6402162" y="16410214"/>
          <a:ext cx="6072868" cy="2429952"/>
        </a:xfrm>
        <a:prstGeom prst="rect">
          <a:avLst/>
        </a:prstGeom>
        <a:ln>
          <a:solidFill>
            <a:schemeClr val="accent1"/>
          </a:solidFill>
        </a:ln>
      </xdr:spPr>
    </xdr:pic>
    <xdr:clientData/>
  </xdr:twoCellAnchor>
  <xdr:twoCellAnchor editAs="oneCell">
    <xdr:from>
      <xdr:col>8</xdr:col>
      <xdr:colOff>149679</xdr:colOff>
      <xdr:row>105</xdr:row>
      <xdr:rowOff>27214</xdr:rowOff>
    </xdr:from>
    <xdr:to>
      <xdr:col>17</xdr:col>
      <xdr:colOff>572384</xdr:colOff>
      <xdr:row>114</xdr:row>
      <xdr:rowOff>96848</xdr:rowOff>
    </xdr:to>
    <xdr:pic>
      <xdr:nvPicPr>
        <xdr:cNvPr id="12" name="Picture 11">
          <a:extLst>
            <a:ext uri="{FF2B5EF4-FFF2-40B4-BE49-F238E27FC236}">
              <a16:creationId xmlns:a16="http://schemas.microsoft.com/office/drawing/2014/main" id="{3447ED85-7EC7-2AF5-853F-7D7D4D984B71}"/>
            </a:ext>
          </a:extLst>
        </xdr:cNvPr>
        <xdr:cNvPicPr>
          <a:picLocks noChangeAspect="1"/>
        </xdr:cNvPicPr>
      </xdr:nvPicPr>
      <xdr:blipFill>
        <a:blip xmlns:r="http://schemas.openxmlformats.org/officeDocument/2006/relationships" r:embed="rId11"/>
        <a:stretch>
          <a:fillRect/>
        </a:stretch>
      </xdr:blipFill>
      <xdr:spPr>
        <a:xfrm>
          <a:off x="6407604" y="19029589"/>
          <a:ext cx="6337730" cy="1698409"/>
        </a:xfrm>
        <a:prstGeom prst="rect">
          <a:avLst/>
        </a:prstGeom>
        <a:ln>
          <a:solidFill>
            <a:schemeClr val="accent1"/>
          </a:solidFill>
        </a:ln>
      </xdr:spPr>
    </xdr:pic>
    <xdr:clientData/>
  </xdr:twoCellAnchor>
  <xdr:twoCellAnchor editAs="oneCell">
    <xdr:from>
      <xdr:col>8</xdr:col>
      <xdr:colOff>161926</xdr:colOff>
      <xdr:row>115</xdr:row>
      <xdr:rowOff>66676</xdr:rowOff>
    </xdr:from>
    <xdr:to>
      <xdr:col>17</xdr:col>
      <xdr:colOff>571500</xdr:colOff>
      <xdr:row>123</xdr:row>
      <xdr:rowOff>95167</xdr:rowOff>
    </xdr:to>
    <xdr:pic>
      <xdr:nvPicPr>
        <xdr:cNvPr id="13" name="Picture 12">
          <a:extLst>
            <a:ext uri="{FF2B5EF4-FFF2-40B4-BE49-F238E27FC236}">
              <a16:creationId xmlns:a16="http://schemas.microsoft.com/office/drawing/2014/main" id="{E1A8A37C-81B0-50E9-5E20-92ECD2687D39}"/>
            </a:ext>
          </a:extLst>
        </xdr:cNvPr>
        <xdr:cNvPicPr>
          <a:picLocks noChangeAspect="1"/>
        </xdr:cNvPicPr>
      </xdr:nvPicPr>
      <xdr:blipFill>
        <a:blip xmlns:r="http://schemas.openxmlformats.org/officeDocument/2006/relationships" r:embed="rId12"/>
        <a:stretch>
          <a:fillRect/>
        </a:stretch>
      </xdr:blipFill>
      <xdr:spPr>
        <a:xfrm>
          <a:off x="6048376" y="21974176"/>
          <a:ext cx="5895974" cy="1552491"/>
        </a:xfrm>
        <a:prstGeom prst="rect">
          <a:avLst/>
        </a:prstGeom>
        <a:ln>
          <a:solidFill>
            <a:schemeClr val="accent1"/>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21738</xdr:colOff>
      <xdr:row>0</xdr:row>
      <xdr:rowOff>121104</xdr:rowOff>
    </xdr:from>
    <xdr:to>
      <xdr:col>17</xdr:col>
      <xdr:colOff>2159</xdr:colOff>
      <xdr:row>8</xdr:row>
      <xdr:rowOff>111579</xdr:rowOff>
    </xdr:to>
    <xdr:pic>
      <xdr:nvPicPr>
        <xdr:cNvPr id="2" name="Picture 1">
          <a:extLst>
            <a:ext uri="{FF2B5EF4-FFF2-40B4-BE49-F238E27FC236}">
              <a16:creationId xmlns:a16="http://schemas.microsoft.com/office/drawing/2014/main" id="{C5BA6385-DE98-282A-6CCA-AEEC52D2D968}"/>
            </a:ext>
          </a:extLst>
        </xdr:cNvPr>
        <xdr:cNvPicPr>
          <a:picLocks noChangeAspect="1"/>
        </xdr:cNvPicPr>
      </xdr:nvPicPr>
      <xdr:blipFill>
        <a:blip xmlns:r="http://schemas.openxmlformats.org/officeDocument/2006/relationships" r:embed="rId1"/>
        <a:stretch>
          <a:fillRect/>
        </a:stretch>
      </xdr:blipFill>
      <xdr:spPr>
        <a:xfrm>
          <a:off x="6936888" y="121104"/>
          <a:ext cx="5206925" cy="1438275"/>
        </a:xfrm>
        <a:prstGeom prst="rect">
          <a:avLst/>
        </a:prstGeom>
        <a:ln>
          <a:solidFill>
            <a:schemeClr val="accent5"/>
          </a:solidFill>
        </a:ln>
      </xdr:spPr>
    </xdr:pic>
    <xdr:clientData/>
  </xdr:twoCellAnchor>
  <xdr:twoCellAnchor editAs="oneCell">
    <xdr:from>
      <xdr:col>9</xdr:col>
      <xdr:colOff>8165</xdr:colOff>
      <xdr:row>9</xdr:row>
      <xdr:rowOff>5442</xdr:rowOff>
    </xdr:from>
    <xdr:to>
      <xdr:col>17</xdr:col>
      <xdr:colOff>1</xdr:colOff>
      <xdr:row>16</xdr:row>
      <xdr:rowOff>122700</xdr:rowOff>
    </xdr:to>
    <xdr:pic>
      <xdr:nvPicPr>
        <xdr:cNvPr id="3" name="Picture 2">
          <a:extLst>
            <a:ext uri="{FF2B5EF4-FFF2-40B4-BE49-F238E27FC236}">
              <a16:creationId xmlns:a16="http://schemas.microsoft.com/office/drawing/2014/main" id="{0E66636C-07E2-0615-0EDD-DE0C4810C2E4}"/>
            </a:ext>
          </a:extLst>
        </xdr:cNvPr>
        <xdr:cNvPicPr>
          <a:picLocks noChangeAspect="1"/>
        </xdr:cNvPicPr>
      </xdr:nvPicPr>
      <xdr:blipFill>
        <a:blip xmlns:r="http://schemas.openxmlformats.org/officeDocument/2006/relationships" r:embed="rId2"/>
        <a:stretch>
          <a:fillRect/>
        </a:stretch>
      </xdr:blipFill>
      <xdr:spPr>
        <a:xfrm>
          <a:off x="6931479" y="1670956"/>
          <a:ext cx="5216980" cy="1409966"/>
        </a:xfrm>
        <a:prstGeom prst="rect">
          <a:avLst/>
        </a:prstGeom>
        <a:ln>
          <a:solidFill>
            <a:schemeClr val="accent2"/>
          </a:solidFill>
        </a:ln>
      </xdr:spPr>
    </xdr:pic>
    <xdr:clientData/>
  </xdr:twoCellAnchor>
  <xdr:twoCellAnchor editAs="oneCell">
    <xdr:from>
      <xdr:col>9</xdr:col>
      <xdr:colOff>32657</xdr:colOff>
      <xdr:row>17</xdr:row>
      <xdr:rowOff>51010</xdr:rowOff>
    </xdr:from>
    <xdr:to>
      <xdr:col>16</xdr:col>
      <xdr:colOff>608904</xdr:colOff>
      <xdr:row>24</xdr:row>
      <xdr:rowOff>122432</xdr:rowOff>
    </xdr:to>
    <xdr:pic>
      <xdr:nvPicPr>
        <xdr:cNvPr id="4" name="Picture 3">
          <a:extLst>
            <a:ext uri="{FF2B5EF4-FFF2-40B4-BE49-F238E27FC236}">
              <a16:creationId xmlns:a16="http://schemas.microsoft.com/office/drawing/2014/main" id="{476315D3-AA5E-605E-B457-C410F06134F0}"/>
            </a:ext>
          </a:extLst>
        </xdr:cNvPr>
        <xdr:cNvPicPr>
          <a:picLocks noChangeAspect="1"/>
        </xdr:cNvPicPr>
      </xdr:nvPicPr>
      <xdr:blipFill>
        <a:blip xmlns:r="http://schemas.openxmlformats.org/officeDocument/2006/relationships" r:embed="rId3"/>
        <a:stretch>
          <a:fillRect/>
        </a:stretch>
      </xdr:blipFill>
      <xdr:spPr>
        <a:xfrm>
          <a:off x="6955971" y="3196982"/>
          <a:ext cx="5176822" cy="1364130"/>
        </a:xfrm>
        <a:prstGeom prst="rect">
          <a:avLst/>
        </a:prstGeom>
        <a:ln>
          <a:solidFill>
            <a:schemeClr val="accent2"/>
          </a:solidFill>
        </a:ln>
      </xdr:spPr>
    </xdr:pic>
    <xdr:clientData/>
  </xdr:twoCellAnchor>
  <xdr:twoCellAnchor editAs="oneCell">
    <xdr:from>
      <xdr:col>9</xdr:col>
      <xdr:colOff>16331</xdr:colOff>
      <xdr:row>25</xdr:row>
      <xdr:rowOff>19050</xdr:rowOff>
    </xdr:from>
    <xdr:to>
      <xdr:col>17</xdr:col>
      <xdr:colOff>1359</xdr:colOff>
      <xdr:row>32</xdr:row>
      <xdr:rowOff>141949</xdr:rowOff>
    </xdr:to>
    <xdr:pic>
      <xdr:nvPicPr>
        <xdr:cNvPr id="5" name="Picture 4">
          <a:extLst>
            <a:ext uri="{FF2B5EF4-FFF2-40B4-BE49-F238E27FC236}">
              <a16:creationId xmlns:a16="http://schemas.microsoft.com/office/drawing/2014/main" id="{B41271F2-15EC-0FD3-C38E-38F247E387DE}"/>
            </a:ext>
          </a:extLst>
        </xdr:cNvPr>
        <xdr:cNvPicPr>
          <a:picLocks noChangeAspect="1"/>
        </xdr:cNvPicPr>
      </xdr:nvPicPr>
      <xdr:blipFill>
        <a:blip xmlns:r="http://schemas.openxmlformats.org/officeDocument/2006/relationships" r:embed="rId4"/>
        <a:stretch>
          <a:fillRect/>
        </a:stretch>
      </xdr:blipFill>
      <xdr:spPr>
        <a:xfrm>
          <a:off x="6931481" y="4543425"/>
          <a:ext cx="5203370" cy="1391060"/>
        </a:xfrm>
        <a:prstGeom prst="rect">
          <a:avLst/>
        </a:prstGeom>
        <a:ln>
          <a:solidFill>
            <a:schemeClr val="accent2"/>
          </a:solidFill>
        </a:ln>
      </xdr:spPr>
    </xdr:pic>
    <xdr:clientData/>
  </xdr:twoCellAnchor>
  <xdr:twoCellAnchor editAs="oneCell">
    <xdr:from>
      <xdr:col>9</xdr:col>
      <xdr:colOff>8164</xdr:colOff>
      <xdr:row>33</xdr:row>
      <xdr:rowOff>19050</xdr:rowOff>
    </xdr:from>
    <xdr:to>
      <xdr:col>17</xdr:col>
      <xdr:colOff>1358</xdr:colOff>
      <xdr:row>40</xdr:row>
      <xdr:rowOff>125160</xdr:rowOff>
    </xdr:to>
    <xdr:pic>
      <xdr:nvPicPr>
        <xdr:cNvPr id="6" name="Picture 5">
          <a:extLst>
            <a:ext uri="{FF2B5EF4-FFF2-40B4-BE49-F238E27FC236}">
              <a16:creationId xmlns:a16="http://schemas.microsoft.com/office/drawing/2014/main" id="{A8C66A8A-EDA9-4523-EEBE-02065A626E24}"/>
            </a:ext>
          </a:extLst>
        </xdr:cNvPr>
        <xdr:cNvPicPr>
          <a:picLocks noChangeAspect="1"/>
        </xdr:cNvPicPr>
      </xdr:nvPicPr>
      <xdr:blipFill>
        <a:blip xmlns:r="http://schemas.openxmlformats.org/officeDocument/2006/relationships" r:embed="rId5"/>
        <a:stretch>
          <a:fillRect/>
        </a:stretch>
      </xdr:blipFill>
      <xdr:spPr>
        <a:xfrm>
          <a:off x="6923314" y="5991225"/>
          <a:ext cx="5211536" cy="1371599"/>
        </a:xfrm>
        <a:prstGeom prst="rect">
          <a:avLst/>
        </a:prstGeom>
        <a:ln>
          <a:solidFill>
            <a:schemeClr val="accent2"/>
          </a:solidFill>
        </a:ln>
      </xdr:spPr>
    </xdr:pic>
    <xdr:clientData/>
  </xdr:twoCellAnchor>
  <xdr:twoCellAnchor editAs="oneCell">
    <xdr:from>
      <xdr:col>9</xdr:col>
      <xdr:colOff>10883</xdr:colOff>
      <xdr:row>41</xdr:row>
      <xdr:rowOff>19048</xdr:rowOff>
    </xdr:from>
    <xdr:to>
      <xdr:col>17</xdr:col>
      <xdr:colOff>10864</xdr:colOff>
      <xdr:row>49</xdr:row>
      <xdr:rowOff>136026</xdr:rowOff>
    </xdr:to>
    <xdr:pic>
      <xdr:nvPicPr>
        <xdr:cNvPr id="7" name="Picture 6">
          <a:extLst>
            <a:ext uri="{FF2B5EF4-FFF2-40B4-BE49-F238E27FC236}">
              <a16:creationId xmlns:a16="http://schemas.microsoft.com/office/drawing/2014/main" id="{46C10395-7AA6-76CA-2E2E-DAFC2A929F65}"/>
            </a:ext>
          </a:extLst>
        </xdr:cNvPr>
        <xdr:cNvPicPr>
          <a:picLocks noChangeAspect="1"/>
        </xdr:cNvPicPr>
      </xdr:nvPicPr>
      <xdr:blipFill>
        <a:blip xmlns:r="http://schemas.openxmlformats.org/officeDocument/2006/relationships" r:embed="rId6"/>
        <a:stretch>
          <a:fillRect/>
        </a:stretch>
      </xdr:blipFill>
      <xdr:spPr>
        <a:xfrm>
          <a:off x="6926033" y="7439023"/>
          <a:ext cx="5256441" cy="1567499"/>
        </a:xfrm>
        <a:prstGeom prst="rect">
          <a:avLst/>
        </a:prstGeom>
        <a:ln>
          <a:solidFill>
            <a:schemeClr val="accent2"/>
          </a:solidFill>
        </a:ln>
      </xdr:spPr>
    </xdr:pic>
    <xdr:clientData/>
  </xdr:twoCellAnchor>
  <xdr:twoCellAnchor editAs="oneCell">
    <xdr:from>
      <xdr:col>8</xdr:col>
      <xdr:colOff>639537</xdr:colOff>
      <xdr:row>50</xdr:row>
      <xdr:rowOff>84364</xdr:rowOff>
    </xdr:from>
    <xdr:to>
      <xdr:col>17</xdr:col>
      <xdr:colOff>920</xdr:colOff>
      <xdr:row>58</xdr:row>
      <xdr:rowOff>48969</xdr:rowOff>
    </xdr:to>
    <xdr:pic>
      <xdr:nvPicPr>
        <xdr:cNvPr id="8" name="Picture 7">
          <a:extLst>
            <a:ext uri="{FF2B5EF4-FFF2-40B4-BE49-F238E27FC236}">
              <a16:creationId xmlns:a16="http://schemas.microsoft.com/office/drawing/2014/main" id="{01C1E47C-7343-D528-8E7F-566402AA1ECE}"/>
            </a:ext>
          </a:extLst>
        </xdr:cNvPr>
        <xdr:cNvPicPr>
          <a:picLocks noChangeAspect="1"/>
        </xdr:cNvPicPr>
      </xdr:nvPicPr>
      <xdr:blipFill>
        <a:blip xmlns:r="http://schemas.openxmlformats.org/officeDocument/2006/relationships" r:embed="rId7"/>
        <a:stretch>
          <a:fillRect/>
        </a:stretch>
      </xdr:blipFill>
      <xdr:spPr>
        <a:xfrm>
          <a:off x="6897462" y="9133114"/>
          <a:ext cx="5272326" cy="1411061"/>
        </a:xfrm>
        <a:prstGeom prst="rect">
          <a:avLst/>
        </a:prstGeom>
        <a:ln>
          <a:solidFill>
            <a:schemeClr val="accent2"/>
          </a:solidFill>
        </a:ln>
      </xdr:spPr>
    </xdr:pic>
    <xdr:clientData/>
  </xdr:twoCellAnchor>
  <xdr:twoCellAnchor editAs="oneCell">
    <xdr:from>
      <xdr:col>8</xdr:col>
      <xdr:colOff>601436</xdr:colOff>
      <xdr:row>59</xdr:row>
      <xdr:rowOff>54429</xdr:rowOff>
    </xdr:from>
    <xdr:to>
      <xdr:col>17</xdr:col>
      <xdr:colOff>9518</xdr:colOff>
      <xdr:row>66</xdr:row>
      <xdr:rowOff>8125</xdr:rowOff>
    </xdr:to>
    <xdr:pic>
      <xdr:nvPicPr>
        <xdr:cNvPr id="9" name="Picture 8">
          <a:extLst>
            <a:ext uri="{FF2B5EF4-FFF2-40B4-BE49-F238E27FC236}">
              <a16:creationId xmlns:a16="http://schemas.microsoft.com/office/drawing/2014/main" id="{ECD9B0AD-321C-0137-AD41-31133EEBF081}"/>
            </a:ext>
          </a:extLst>
        </xdr:cNvPr>
        <xdr:cNvPicPr>
          <a:picLocks noChangeAspect="1"/>
        </xdr:cNvPicPr>
      </xdr:nvPicPr>
      <xdr:blipFill>
        <a:blip xmlns:r="http://schemas.openxmlformats.org/officeDocument/2006/relationships" r:embed="rId8"/>
        <a:stretch>
          <a:fillRect/>
        </a:stretch>
      </xdr:blipFill>
      <xdr:spPr>
        <a:xfrm>
          <a:off x="6859361" y="10731954"/>
          <a:ext cx="5323114" cy="1220528"/>
        </a:xfrm>
        <a:prstGeom prst="rect">
          <a:avLst/>
        </a:prstGeom>
        <a:ln>
          <a:solidFill>
            <a:schemeClr val="accent2"/>
          </a:solidFill>
        </a:ln>
      </xdr:spPr>
    </xdr:pic>
    <xdr:clientData/>
  </xdr:twoCellAnchor>
  <xdr:twoCellAnchor editAs="oneCell">
    <xdr:from>
      <xdr:col>8</xdr:col>
      <xdr:colOff>579665</xdr:colOff>
      <xdr:row>66</xdr:row>
      <xdr:rowOff>144236</xdr:rowOff>
    </xdr:from>
    <xdr:to>
      <xdr:col>17</xdr:col>
      <xdr:colOff>9260</xdr:colOff>
      <xdr:row>74</xdr:row>
      <xdr:rowOff>85718</xdr:rowOff>
    </xdr:to>
    <xdr:pic>
      <xdr:nvPicPr>
        <xdr:cNvPr id="10" name="Picture 9">
          <a:extLst>
            <a:ext uri="{FF2B5EF4-FFF2-40B4-BE49-F238E27FC236}">
              <a16:creationId xmlns:a16="http://schemas.microsoft.com/office/drawing/2014/main" id="{5DD6EDD8-51FE-F969-4542-6165042A6A2C}"/>
            </a:ext>
          </a:extLst>
        </xdr:cNvPr>
        <xdr:cNvPicPr>
          <a:picLocks noChangeAspect="1"/>
        </xdr:cNvPicPr>
      </xdr:nvPicPr>
      <xdr:blipFill>
        <a:blip xmlns:r="http://schemas.openxmlformats.org/officeDocument/2006/relationships" r:embed="rId9"/>
        <a:stretch>
          <a:fillRect/>
        </a:stretch>
      </xdr:blipFill>
      <xdr:spPr>
        <a:xfrm>
          <a:off x="6837590" y="12088586"/>
          <a:ext cx="5339184" cy="1389289"/>
        </a:xfrm>
        <a:prstGeom prst="rect">
          <a:avLst/>
        </a:prstGeom>
        <a:ln>
          <a:solidFill>
            <a:schemeClr val="accent2"/>
          </a:solidFill>
        </a:ln>
      </xdr:spPr>
    </xdr:pic>
    <xdr:clientData/>
  </xdr:twoCellAnchor>
  <xdr:twoCellAnchor editAs="oneCell">
    <xdr:from>
      <xdr:col>8</xdr:col>
      <xdr:colOff>581025</xdr:colOff>
      <xdr:row>75</xdr:row>
      <xdr:rowOff>88446</xdr:rowOff>
    </xdr:from>
    <xdr:to>
      <xdr:col>17</xdr:col>
      <xdr:colOff>19050</xdr:colOff>
      <xdr:row>83</xdr:row>
      <xdr:rowOff>38875</xdr:rowOff>
    </xdr:to>
    <xdr:pic>
      <xdr:nvPicPr>
        <xdr:cNvPr id="11" name="Picture 10">
          <a:extLst>
            <a:ext uri="{FF2B5EF4-FFF2-40B4-BE49-F238E27FC236}">
              <a16:creationId xmlns:a16="http://schemas.microsoft.com/office/drawing/2014/main" id="{07F29F78-3573-05A6-DC55-366EF8F63D3D}"/>
            </a:ext>
          </a:extLst>
        </xdr:cNvPr>
        <xdr:cNvPicPr>
          <a:picLocks noChangeAspect="1"/>
        </xdr:cNvPicPr>
      </xdr:nvPicPr>
      <xdr:blipFill>
        <a:blip xmlns:r="http://schemas.openxmlformats.org/officeDocument/2006/relationships" r:embed="rId10"/>
        <a:stretch>
          <a:fillRect/>
        </a:stretch>
      </xdr:blipFill>
      <xdr:spPr>
        <a:xfrm>
          <a:off x="6838950" y="13661571"/>
          <a:ext cx="5353050" cy="1398229"/>
        </a:xfrm>
        <a:prstGeom prst="rect">
          <a:avLst/>
        </a:prstGeom>
        <a:ln>
          <a:solidFill>
            <a:schemeClr val="accent2"/>
          </a:solidFill>
        </a:ln>
      </xdr:spPr>
    </xdr:pic>
    <xdr:clientData/>
  </xdr:twoCellAnchor>
  <xdr:twoCellAnchor editAs="oneCell">
    <xdr:from>
      <xdr:col>8</xdr:col>
      <xdr:colOff>587829</xdr:colOff>
      <xdr:row>84</xdr:row>
      <xdr:rowOff>8163</xdr:rowOff>
    </xdr:from>
    <xdr:to>
      <xdr:col>17</xdr:col>
      <xdr:colOff>28577</xdr:colOff>
      <xdr:row>91</xdr:row>
      <xdr:rowOff>133919</xdr:rowOff>
    </xdr:to>
    <xdr:pic>
      <xdr:nvPicPr>
        <xdr:cNvPr id="12" name="Picture 11">
          <a:extLst>
            <a:ext uri="{FF2B5EF4-FFF2-40B4-BE49-F238E27FC236}">
              <a16:creationId xmlns:a16="http://schemas.microsoft.com/office/drawing/2014/main" id="{A6E72375-2B96-44CA-AF7F-40FE865CA634}"/>
            </a:ext>
          </a:extLst>
        </xdr:cNvPr>
        <xdr:cNvPicPr>
          <a:picLocks noChangeAspect="1"/>
        </xdr:cNvPicPr>
      </xdr:nvPicPr>
      <xdr:blipFill>
        <a:blip xmlns:r="http://schemas.openxmlformats.org/officeDocument/2006/relationships" r:embed="rId11"/>
        <a:stretch>
          <a:fillRect/>
        </a:stretch>
      </xdr:blipFill>
      <xdr:spPr>
        <a:xfrm>
          <a:off x="6845754" y="15210063"/>
          <a:ext cx="5355771" cy="1392581"/>
        </a:xfrm>
        <a:prstGeom prst="rect">
          <a:avLst/>
        </a:prstGeom>
        <a:ln>
          <a:solidFill>
            <a:schemeClr val="accent2"/>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19050</xdr:colOff>
      <xdr:row>0</xdr:row>
      <xdr:rowOff>76200</xdr:rowOff>
    </xdr:from>
    <xdr:to>
      <xdr:col>17</xdr:col>
      <xdr:colOff>2181</xdr:colOff>
      <xdr:row>9</xdr:row>
      <xdr:rowOff>130862</xdr:rowOff>
    </xdr:to>
    <xdr:pic>
      <xdr:nvPicPr>
        <xdr:cNvPr id="2" name="Picture 1">
          <a:extLst>
            <a:ext uri="{FF2B5EF4-FFF2-40B4-BE49-F238E27FC236}">
              <a16:creationId xmlns:a16="http://schemas.microsoft.com/office/drawing/2014/main" id="{9C7AB038-C839-43D8-91AF-C75413980DC5}"/>
            </a:ext>
          </a:extLst>
        </xdr:cNvPr>
        <xdr:cNvPicPr>
          <a:picLocks noChangeAspect="1"/>
        </xdr:cNvPicPr>
      </xdr:nvPicPr>
      <xdr:blipFill>
        <a:blip xmlns:r="http://schemas.openxmlformats.org/officeDocument/2006/relationships" r:embed="rId1"/>
        <a:stretch>
          <a:fillRect/>
        </a:stretch>
      </xdr:blipFill>
      <xdr:spPr>
        <a:xfrm>
          <a:off x="7534275" y="76200"/>
          <a:ext cx="5898156" cy="1686158"/>
        </a:xfrm>
        <a:prstGeom prst="rect">
          <a:avLst/>
        </a:prstGeom>
        <a:ln>
          <a:solidFill>
            <a:schemeClr val="accent4"/>
          </a:solidFill>
        </a:ln>
      </xdr:spPr>
    </xdr:pic>
    <xdr:clientData/>
  </xdr:twoCellAnchor>
  <xdr:twoCellAnchor editAs="oneCell">
    <xdr:from>
      <xdr:col>8</xdr:col>
      <xdr:colOff>12246</xdr:colOff>
      <xdr:row>10</xdr:row>
      <xdr:rowOff>63954</xdr:rowOff>
    </xdr:from>
    <xdr:to>
      <xdr:col>17</xdr:col>
      <xdr:colOff>0</xdr:colOff>
      <xdr:row>18</xdr:row>
      <xdr:rowOff>132201</xdr:rowOff>
    </xdr:to>
    <xdr:pic>
      <xdr:nvPicPr>
        <xdr:cNvPr id="3" name="Picture 2">
          <a:extLst>
            <a:ext uri="{FF2B5EF4-FFF2-40B4-BE49-F238E27FC236}">
              <a16:creationId xmlns:a16="http://schemas.microsoft.com/office/drawing/2014/main" id="{E9B0B830-1024-8271-4E1B-990345808453}"/>
            </a:ext>
          </a:extLst>
        </xdr:cNvPr>
        <xdr:cNvPicPr>
          <a:picLocks noChangeAspect="1"/>
        </xdr:cNvPicPr>
      </xdr:nvPicPr>
      <xdr:blipFill>
        <a:blip xmlns:r="http://schemas.openxmlformats.org/officeDocument/2006/relationships" r:embed="rId2"/>
        <a:stretch>
          <a:fillRect/>
        </a:stretch>
      </xdr:blipFill>
      <xdr:spPr>
        <a:xfrm>
          <a:off x="7575096" y="1873704"/>
          <a:ext cx="5893254" cy="1516047"/>
        </a:xfrm>
        <a:prstGeom prst="rect">
          <a:avLst/>
        </a:prstGeom>
        <a:ln>
          <a:solidFill>
            <a:schemeClr val="accent1"/>
          </a:solidFill>
        </a:ln>
      </xdr:spPr>
    </xdr:pic>
    <xdr:clientData/>
  </xdr:twoCellAnchor>
  <xdr:twoCellAnchor editAs="oneCell">
    <xdr:from>
      <xdr:col>8</xdr:col>
      <xdr:colOff>0</xdr:colOff>
      <xdr:row>19</xdr:row>
      <xdr:rowOff>63954</xdr:rowOff>
    </xdr:from>
    <xdr:to>
      <xdr:col>17</xdr:col>
      <xdr:colOff>2720</xdr:colOff>
      <xdr:row>28</xdr:row>
      <xdr:rowOff>16550</xdr:rowOff>
    </xdr:to>
    <xdr:pic>
      <xdr:nvPicPr>
        <xdr:cNvPr id="4" name="Picture 3">
          <a:extLst>
            <a:ext uri="{FF2B5EF4-FFF2-40B4-BE49-F238E27FC236}">
              <a16:creationId xmlns:a16="http://schemas.microsoft.com/office/drawing/2014/main" id="{6F6699A3-3CEA-BCCB-050C-2F1599428252}"/>
            </a:ext>
          </a:extLst>
        </xdr:cNvPr>
        <xdr:cNvPicPr>
          <a:picLocks noChangeAspect="1"/>
        </xdr:cNvPicPr>
      </xdr:nvPicPr>
      <xdr:blipFill>
        <a:blip xmlns:r="http://schemas.openxmlformats.org/officeDocument/2006/relationships" r:embed="rId3"/>
        <a:stretch>
          <a:fillRect/>
        </a:stretch>
      </xdr:blipFill>
      <xdr:spPr>
        <a:xfrm>
          <a:off x="7562850" y="3502479"/>
          <a:ext cx="5913663" cy="1581371"/>
        </a:xfrm>
        <a:prstGeom prst="rect">
          <a:avLst/>
        </a:prstGeom>
        <a:ln>
          <a:solidFill>
            <a:schemeClr val="accent1"/>
          </a:solidFill>
        </a:ln>
      </xdr:spPr>
    </xdr:pic>
    <xdr:clientData/>
  </xdr:twoCellAnchor>
  <xdr:twoCellAnchor editAs="oneCell">
    <xdr:from>
      <xdr:col>8</xdr:col>
      <xdr:colOff>0</xdr:colOff>
      <xdr:row>25</xdr:row>
      <xdr:rowOff>0</xdr:rowOff>
    </xdr:from>
    <xdr:to>
      <xdr:col>17</xdr:col>
      <xdr:colOff>10081</xdr:colOff>
      <xdr:row>33</xdr:row>
      <xdr:rowOff>121479</xdr:rowOff>
    </xdr:to>
    <xdr:pic>
      <xdr:nvPicPr>
        <xdr:cNvPr id="5" name="Picture 4">
          <a:extLst>
            <a:ext uri="{FF2B5EF4-FFF2-40B4-BE49-F238E27FC236}">
              <a16:creationId xmlns:a16="http://schemas.microsoft.com/office/drawing/2014/main" id="{FBA14812-E571-3EC9-818B-3AB5887F87FE}"/>
            </a:ext>
          </a:extLst>
        </xdr:cNvPr>
        <xdr:cNvPicPr>
          <a:picLocks noChangeAspect="1"/>
        </xdr:cNvPicPr>
      </xdr:nvPicPr>
      <xdr:blipFill>
        <a:blip xmlns:r="http://schemas.openxmlformats.org/officeDocument/2006/relationships" r:embed="rId4"/>
        <a:stretch>
          <a:fillRect/>
        </a:stretch>
      </xdr:blipFill>
      <xdr:spPr>
        <a:xfrm>
          <a:off x="7538358" y="5272768"/>
          <a:ext cx="5885663" cy="1582887"/>
        </a:xfrm>
        <a:prstGeom prst="rect">
          <a:avLst/>
        </a:prstGeom>
        <a:ln>
          <a:solidFill>
            <a:schemeClr val="accent1"/>
          </a:solidFill>
        </a:ln>
      </xdr:spPr>
    </xdr:pic>
    <xdr:clientData/>
  </xdr:twoCellAnchor>
  <xdr:twoCellAnchor editAs="oneCell">
    <xdr:from>
      <xdr:col>8</xdr:col>
      <xdr:colOff>25854</xdr:colOff>
      <xdr:row>34</xdr:row>
      <xdr:rowOff>0</xdr:rowOff>
    </xdr:from>
    <xdr:to>
      <xdr:col>17</xdr:col>
      <xdr:colOff>0</xdr:colOff>
      <xdr:row>42</xdr:row>
      <xdr:rowOff>97088</xdr:rowOff>
    </xdr:to>
    <xdr:pic>
      <xdr:nvPicPr>
        <xdr:cNvPr id="6" name="Picture 5">
          <a:extLst>
            <a:ext uri="{FF2B5EF4-FFF2-40B4-BE49-F238E27FC236}">
              <a16:creationId xmlns:a16="http://schemas.microsoft.com/office/drawing/2014/main" id="{05A2EBEE-30E4-A752-DB76-EA45334CDA63}"/>
            </a:ext>
          </a:extLst>
        </xdr:cNvPr>
        <xdr:cNvPicPr>
          <a:picLocks noChangeAspect="1"/>
        </xdr:cNvPicPr>
      </xdr:nvPicPr>
      <xdr:blipFill>
        <a:blip xmlns:r="http://schemas.openxmlformats.org/officeDocument/2006/relationships" r:embed="rId5"/>
        <a:stretch>
          <a:fillRect/>
        </a:stretch>
      </xdr:blipFill>
      <xdr:spPr>
        <a:xfrm>
          <a:off x="7588704" y="6877050"/>
          <a:ext cx="5889171" cy="1547609"/>
        </a:xfrm>
        <a:prstGeom prst="rect">
          <a:avLst/>
        </a:prstGeom>
        <a:ln>
          <a:solidFill>
            <a:schemeClr val="accent1"/>
          </a:solidFill>
        </a:ln>
      </xdr:spPr>
    </xdr:pic>
    <xdr:clientData/>
  </xdr:twoCellAnchor>
  <xdr:twoCellAnchor editAs="oneCell">
    <xdr:from>
      <xdr:col>8</xdr:col>
      <xdr:colOff>25854</xdr:colOff>
      <xdr:row>43</xdr:row>
      <xdr:rowOff>38100</xdr:rowOff>
    </xdr:from>
    <xdr:to>
      <xdr:col>17</xdr:col>
      <xdr:colOff>0</xdr:colOff>
      <xdr:row>51</xdr:row>
      <xdr:rowOff>121306</xdr:rowOff>
    </xdr:to>
    <xdr:pic>
      <xdr:nvPicPr>
        <xdr:cNvPr id="7" name="Picture 6">
          <a:extLst>
            <a:ext uri="{FF2B5EF4-FFF2-40B4-BE49-F238E27FC236}">
              <a16:creationId xmlns:a16="http://schemas.microsoft.com/office/drawing/2014/main" id="{D428C7DB-29B5-6E86-F3B2-AB7B59B1DB9C}"/>
            </a:ext>
          </a:extLst>
        </xdr:cNvPr>
        <xdr:cNvPicPr>
          <a:picLocks noChangeAspect="1"/>
        </xdr:cNvPicPr>
      </xdr:nvPicPr>
      <xdr:blipFill>
        <a:blip xmlns:r="http://schemas.openxmlformats.org/officeDocument/2006/relationships" r:embed="rId6"/>
        <a:stretch>
          <a:fillRect/>
        </a:stretch>
      </xdr:blipFill>
      <xdr:spPr>
        <a:xfrm>
          <a:off x="7588704" y="8543925"/>
          <a:ext cx="5889171" cy="1532377"/>
        </a:xfrm>
        <a:prstGeom prst="rect">
          <a:avLst/>
        </a:prstGeom>
        <a:ln>
          <a:solidFill>
            <a:schemeClr val="accent1"/>
          </a:solidFill>
        </a:ln>
      </xdr:spPr>
    </xdr:pic>
    <xdr:clientData/>
  </xdr:twoCellAnchor>
  <xdr:twoCellAnchor editAs="oneCell">
    <xdr:from>
      <xdr:col>8</xdr:col>
      <xdr:colOff>9525</xdr:colOff>
      <xdr:row>52</xdr:row>
      <xdr:rowOff>66675</xdr:rowOff>
    </xdr:from>
    <xdr:to>
      <xdr:col>16</xdr:col>
      <xdr:colOff>583737</xdr:colOff>
      <xdr:row>60</xdr:row>
      <xdr:rowOff>45104</xdr:rowOff>
    </xdr:to>
    <xdr:pic>
      <xdr:nvPicPr>
        <xdr:cNvPr id="8" name="Picture 7">
          <a:extLst>
            <a:ext uri="{FF2B5EF4-FFF2-40B4-BE49-F238E27FC236}">
              <a16:creationId xmlns:a16="http://schemas.microsoft.com/office/drawing/2014/main" id="{CBAC6D82-40FE-3D13-8B48-579544EA9BF3}"/>
            </a:ext>
          </a:extLst>
        </xdr:cNvPr>
        <xdr:cNvPicPr>
          <a:picLocks noChangeAspect="1"/>
        </xdr:cNvPicPr>
      </xdr:nvPicPr>
      <xdr:blipFill rotWithShape="1">
        <a:blip xmlns:r="http://schemas.openxmlformats.org/officeDocument/2006/relationships" r:embed="rId7"/>
        <a:srcRect r="5779"/>
        <a:stretch/>
      </xdr:blipFill>
      <xdr:spPr>
        <a:xfrm>
          <a:off x="7077075" y="10734675"/>
          <a:ext cx="5448300" cy="1505160"/>
        </a:xfrm>
        <a:prstGeom prst="rect">
          <a:avLst/>
        </a:prstGeom>
        <a:ln>
          <a:solidFill>
            <a:schemeClr val="accent1"/>
          </a:solidFill>
        </a:ln>
      </xdr:spPr>
    </xdr:pic>
    <xdr:clientData/>
  </xdr:twoCellAnchor>
  <xdr:twoCellAnchor editAs="oneCell">
    <xdr:from>
      <xdr:col>7</xdr:col>
      <xdr:colOff>647700</xdr:colOff>
      <xdr:row>60</xdr:row>
      <xdr:rowOff>152400</xdr:rowOff>
    </xdr:from>
    <xdr:to>
      <xdr:col>16</xdr:col>
      <xdr:colOff>608240</xdr:colOff>
      <xdr:row>69</xdr:row>
      <xdr:rowOff>97193</xdr:rowOff>
    </xdr:to>
    <xdr:pic>
      <xdr:nvPicPr>
        <xdr:cNvPr id="9" name="Picture 8">
          <a:extLst>
            <a:ext uri="{FF2B5EF4-FFF2-40B4-BE49-F238E27FC236}">
              <a16:creationId xmlns:a16="http://schemas.microsoft.com/office/drawing/2014/main" id="{908AD47D-A9DF-9586-3CC6-676A17B152A4}"/>
            </a:ext>
          </a:extLst>
        </xdr:cNvPr>
        <xdr:cNvPicPr>
          <a:picLocks noChangeAspect="1"/>
        </xdr:cNvPicPr>
      </xdr:nvPicPr>
      <xdr:blipFill>
        <a:blip xmlns:r="http://schemas.openxmlformats.org/officeDocument/2006/relationships" r:embed="rId8"/>
        <a:stretch>
          <a:fillRect/>
        </a:stretch>
      </xdr:blipFill>
      <xdr:spPr>
        <a:xfrm>
          <a:off x="7553325" y="11734800"/>
          <a:ext cx="5905500" cy="1568126"/>
        </a:xfrm>
        <a:prstGeom prst="rect">
          <a:avLst/>
        </a:prstGeom>
        <a:ln>
          <a:solidFill>
            <a:schemeClr val="accent1"/>
          </a:solidFill>
        </a:ln>
      </xdr:spPr>
    </xdr:pic>
    <xdr:clientData/>
  </xdr:twoCellAnchor>
  <xdr:twoCellAnchor editAs="oneCell">
    <xdr:from>
      <xdr:col>8</xdr:col>
      <xdr:colOff>47625</xdr:colOff>
      <xdr:row>70</xdr:row>
      <xdr:rowOff>47625</xdr:rowOff>
    </xdr:from>
    <xdr:to>
      <xdr:col>16</xdr:col>
      <xdr:colOff>598167</xdr:colOff>
      <xdr:row>79</xdr:row>
      <xdr:rowOff>11106</xdr:rowOff>
    </xdr:to>
    <xdr:pic>
      <xdr:nvPicPr>
        <xdr:cNvPr id="10" name="Picture 9">
          <a:extLst>
            <a:ext uri="{FF2B5EF4-FFF2-40B4-BE49-F238E27FC236}">
              <a16:creationId xmlns:a16="http://schemas.microsoft.com/office/drawing/2014/main" id="{B4198AD9-D8E6-60BA-7AD2-A1124317D775}"/>
            </a:ext>
          </a:extLst>
        </xdr:cNvPr>
        <xdr:cNvPicPr>
          <a:picLocks noChangeAspect="1"/>
        </xdr:cNvPicPr>
      </xdr:nvPicPr>
      <xdr:blipFill>
        <a:blip xmlns:r="http://schemas.openxmlformats.org/officeDocument/2006/relationships" r:embed="rId9"/>
        <a:stretch>
          <a:fillRect/>
        </a:stretch>
      </xdr:blipFill>
      <xdr:spPr>
        <a:xfrm>
          <a:off x="6181725" y="13439775"/>
          <a:ext cx="5808340" cy="1592258"/>
        </a:xfrm>
        <a:prstGeom prst="rect">
          <a:avLst/>
        </a:prstGeom>
        <a:ln>
          <a:solidFill>
            <a:schemeClr val="accent1"/>
          </a:solidFill>
        </a:ln>
      </xdr:spPr>
    </xdr:pic>
    <xdr:clientData/>
  </xdr:twoCellAnchor>
  <xdr:twoCellAnchor editAs="oneCell">
    <xdr:from>
      <xdr:col>8</xdr:col>
      <xdr:colOff>57150</xdr:colOff>
      <xdr:row>79</xdr:row>
      <xdr:rowOff>133350</xdr:rowOff>
    </xdr:from>
    <xdr:to>
      <xdr:col>16</xdr:col>
      <xdr:colOff>591358</xdr:colOff>
      <xdr:row>88</xdr:row>
      <xdr:rowOff>36953</xdr:rowOff>
    </xdr:to>
    <xdr:pic>
      <xdr:nvPicPr>
        <xdr:cNvPr id="11" name="Picture 10">
          <a:extLst>
            <a:ext uri="{FF2B5EF4-FFF2-40B4-BE49-F238E27FC236}">
              <a16:creationId xmlns:a16="http://schemas.microsoft.com/office/drawing/2014/main" id="{28E9303E-D850-120B-B991-E45407188014}"/>
            </a:ext>
          </a:extLst>
        </xdr:cNvPr>
        <xdr:cNvPicPr>
          <a:picLocks noChangeAspect="1"/>
        </xdr:cNvPicPr>
      </xdr:nvPicPr>
      <xdr:blipFill>
        <a:blip xmlns:r="http://schemas.openxmlformats.org/officeDocument/2006/relationships" r:embed="rId10"/>
        <a:stretch>
          <a:fillRect/>
        </a:stretch>
      </xdr:blipFill>
      <xdr:spPr>
        <a:xfrm>
          <a:off x="6191250" y="15154275"/>
          <a:ext cx="5792008" cy="1532378"/>
        </a:xfrm>
        <a:prstGeom prst="rect">
          <a:avLst/>
        </a:prstGeom>
        <a:ln>
          <a:solidFill>
            <a:schemeClr val="accent1"/>
          </a:solidFill>
        </a:ln>
      </xdr:spPr>
    </xdr:pic>
    <xdr:clientData/>
  </xdr:twoCellAnchor>
  <xdr:twoCellAnchor editAs="oneCell">
    <xdr:from>
      <xdr:col>8</xdr:col>
      <xdr:colOff>66675</xdr:colOff>
      <xdr:row>88</xdr:row>
      <xdr:rowOff>161925</xdr:rowOff>
    </xdr:from>
    <xdr:to>
      <xdr:col>16</xdr:col>
      <xdr:colOff>570943</xdr:colOff>
      <xdr:row>97</xdr:row>
      <xdr:rowOff>35589</xdr:rowOff>
    </xdr:to>
    <xdr:pic>
      <xdr:nvPicPr>
        <xdr:cNvPr id="12" name="Picture 11">
          <a:extLst>
            <a:ext uri="{FF2B5EF4-FFF2-40B4-BE49-F238E27FC236}">
              <a16:creationId xmlns:a16="http://schemas.microsoft.com/office/drawing/2014/main" id="{257C027B-B0E9-C2BB-DE53-3945D26BE80B}"/>
            </a:ext>
          </a:extLst>
        </xdr:cNvPr>
        <xdr:cNvPicPr>
          <a:picLocks noChangeAspect="1"/>
        </xdr:cNvPicPr>
      </xdr:nvPicPr>
      <xdr:blipFill>
        <a:blip xmlns:r="http://schemas.openxmlformats.org/officeDocument/2006/relationships" r:embed="rId11"/>
        <a:stretch>
          <a:fillRect/>
        </a:stretch>
      </xdr:blipFill>
      <xdr:spPr>
        <a:xfrm>
          <a:off x="6200775" y="16811625"/>
          <a:ext cx="5762068" cy="1502439"/>
        </a:xfrm>
        <a:prstGeom prst="rect">
          <a:avLst/>
        </a:prstGeom>
        <a:ln>
          <a:solidFill>
            <a:schemeClr val="accent1"/>
          </a:solidFill>
        </a:ln>
      </xdr:spPr>
    </xdr:pic>
    <xdr:clientData/>
  </xdr:twoCellAnchor>
  <xdr:twoCellAnchor editAs="oneCell">
    <xdr:from>
      <xdr:col>8</xdr:col>
      <xdr:colOff>15553</xdr:colOff>
      <xdr:row>98</xdr:row>
      <xdr:rowOff>23724</xdr:rowOff>
    </xdr:from>
    <xdr:to>
      <xdr:col>17</xdr:col>
      <xdr:colOff>6998</xdr:colOff>
      <xdr:row>106</xdr:row>
      <xdr:rowOff>45030</xdr:rowOff>
    </xdr:to>
    <xdr:pic>
      <xdr:nvPicPr>
        <xdr:cNvPr id="13" name="Picture 12">
          <a:extLst>
            <a:ext uri="{FF2B5EF4-FFF2-40B4-BE49-F238E27FC236}">
              <a16:creationId xmlns:a16="http://schemas.microsoft.com/office/drawing/2014/main" id="{35A1C739-0A30-0283-0F53-559BC332F20C}"/>
            </a:ext>
          </a:extLst>
        </xdr:cNvPr>
        <xdr:cNvPicPr>
          <a:picLocks noChangeAspect="1"/>
        </xdr:cNvPicPr>
      </xdr:nvPicPr>
      <xdr:blipFill>
        <a:blip xmlns:r="http://schemas.openxmlformats.org/officeDocument/2006/relationships" r:embed="rId12"/>
        <a:stretch>
          <a:fillRect/>
        </a:stretch>
      </xdr:blipFill>
      <xdr:spPr>
        <a:xfrm>
          <a:off x="6150430" y="19058173"/>
          <a:ext cx="5831632" cy="1515566"/>
        </a:xfrm>
        <a:prstGeom prst="rect">
          <a:avLst/>
        </a:prstGeom>
        <a:ln>
          <a:solidFill>
            <a:schemeClr val="accent1"/>
          </a:solidFill>
        </a:ln>
      </xdr:spPr>
    </xdr:pic>
    <xdr:clientData/>
  </xdr:twoCellAnchor>
  <xdr:twoCellAnchor editAs="oneCell">
    <xdr:from>
      <xdr:col>8</xdr:col>
      <xdr:colOff>19050</xdr:colOff>
      <xdr:row>106</xdr:row>
      <xdr:rowOff>152400</xdr:rowOff>
    </xdr:from>
    <xdr:to>
      <xdr:col>17</xdr:col>
      <xdr:colOff>8163</xdr:colOff>
      <xdr:row>115</xdr:row>
      <xdr:rowOff>38323</xdr:rowOff>
    </xdr:to>
    <xdr:pic>
      <xdr:nvPicPr>
        <xdr:cNvPr id="14" name="Picture 13">
          <a:extLst>
            <a:ext uri="{FF2B5EF4-FFF2-40B4-BE49-F238E27FC236}">
              <a16:creationId xmlns:a16="http://schemas.microsoft.com/office/drawing/2014/main" id="{BEDB6BAC-54A6-E6CF-3A7F-8E4B94EA4E9B}"/>
            </a:ext>
          </a:extLst>
        </xdr:cNvPr>
        <xdr:cNvPicPr>
          <a:picLocks noChangeAspect="1"/>
        </xdr:cNvPicPr>
      </xdr:nvPicPr>
      <xdr:blipFill>
        <a:blip xmlns:r="http://schemas.openxmlformats.org/officeDocument/2006/relationships" r:embed="rId13"/>
        <a:stretch>
          <a:fillRect/>
        </a:stretch>
      </xdr:blipFill>
      <xdr:spPr>
        <a:xfrm>
          <a:off x="5838825" y="20345400"/>
          <a:ext cx="5476875" cy="1600423"/>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88446</xdr:colOff>
      <xdr:row>94</xdr:row>
      <xdr:rowOff>160563</xdr:rowOff>
    </xdr:from>
    <xdr:to>
      <xdr:col>9</xdr:col>
      <xdr:colOff>666750</xdr:colOff>
      <xdr:row>97</xdr:row>
      <xdr:rowOff>112940</xdr:rowOff>
    </xdr:to>
    <xdr:sp macro="" textlink="">
      <xdr:nvSpPr>
        <xdr:cNvPr id="2" name="TextBox 1">
          <a:extLst>
            <a:ext uri="{FF2B5EF4-FFF2-40B4-BE49-F238E27FC236}">
              <a16:creationId xmlns:a16="http://schemas.microsoft.com/office/drawing/2014/main" id="{7A3948AF-1AB2-464A-A54A-AA243F82CF10}"/>
            </a:ext>
          </a:extLst>
        </xdr:cNvPr>
        <xdr:cNvSpPr txBox="1"/>
      </xdr:nvSpPr>
      <xdr:spPr>
        <a:xfrm>
          <a:off x="88446" y="17391288"/>
          <a:ext cx="12313104" cy="4953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baseline="30000">
              <a:latin typeface="Aptos" panose="020B0004020202020204" pitchFamily="34" charset="0"/>
            </a:rPr>
            <a:t>(1) </a:t>
          </a:r>
          <a:r>
            <a:rPr lang="en-US" sz="1050">
              <a:latin typeface="Aptos" panose="020B0004020202020204" pitchFamily="34" charset="0"/>
            </a:rPr>
            <a:t>Estimated total budget represents the best rough order of magnitude for total project costs</a:t>
          </a:r>
          <a:r>
            <a:rPr lang="en-US" sz="1050" baseline="0">
              <a:latin typeface="Aptos" panose="020B0004020202020204" pitchFamily="34" charset="0"/>
            </a:rPr>
            <a:t> for project status Active and Deferred / On Hold. For completed project status, final projects costs are shown.</a:t>
          </a:r>
          <a:endParaRPr lang="en-US" sz="1050" baseline="30000">
            <a:latin typeface="Aptos" panose="020B0004020202020204" pitchFamily="34" charset="0"/>
          </a:endParaRPr>
        </a:p>
        <a:p>
          <a:pPr algn="l"/>
          <a:r>
            <a:rPr lang="en-US" sz="1050" baseline="30000">
              <a:latin typeface="Aptos" panose="020B0004020202020204" pitchFamily="34" charset="0"/>
            </a:rPr>
            <a:t>(2)</a:t>
          </a:r>
          <a:r>
            <a:rPr lang="en-US" sz="1050">
              <a:latin typeface="Aptos" panose="020B0004020202020204" pitchFamily="34" charset="0"/>
            </a:rPr>
            <a:t> FYxx FRP funding indicates </a:t>
          </a:r>
          <a:r>
            <a:rPr lang="en-US" sz="1100">
              <a:solidFill>
                <a:schemeClr val="dk1"/>
              </a:solidFill>
              <a:effectLst/>
              <a:latin typeface="Aptos" panose="020B0004020202020204" pitchFamily="34" charset="0"/>
              <a:ea typeface="+mn-ea"/>
              <a:cs typeface="+mn-cs"/>
            </a:rPr>
            <a:t>anticipated</a:t>
          </a:r>
          <a:r>
            <a:rPr lang="en-US" sz="1100" baseline="0">
              <a:solidFill>
                <a:schemeClr val="dk1"/>
              </a:solidFill>
              <a:effectLst/>
              <a:latin typeface="Aptos" panose="020B0004020202020204" pitchFamily="34" charset="0"/>
              <a:ea typeface="+mn-ea"/>
              <a:cs typeface="+mn-cs"/>
            </a:rPr>
            <a:t> </a:t>
          </a:r>
          <a:r>
            <a:rPr lang="en-US" sz="1100">
              <a:solidFill>
                <a:schemeClr val="dk1"/>
              </a:solidFill>
              <a:effectLst/>
              <a:latin typeface="Aptos" panose="020B0004020202020204" pitchFamily="34" charset="0"/>
              <a:ea typeface="+mn-ea"/>
              <a:cs typeface="+mn-cs"/>
            </a:rPr>
            <a:t>funding to be transferred back to the school for approved FRP projects from FRP program funds. </a:t>
          </a:r>
          <a:endParaRPr lang="en-US" sz="1050">
            <a:latin typeface="Aptos" panose="020B00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68038</xdr:colOff>
      <xdr:row>4</xdr:row>
      <xdr:rowOff>2720</xdr:rowOff>
    </xdr:from>
    <xdr:to>
      <xdr:col>13</xdr:col>
      <xdr:colOff>364178</xdr:colOff>
      <xdr:row>10</xdr:row>
      <xdr:rowOff>130629</xdr:rowOff>
    </xdr:to>
    <mc:AlternateContent xmlns:mc="http://schemas.openxmlformats.org/markup-compatibility/2006" xmlns:a14="http://schemas.microsoft.com/office/drawing/2010/main">
      <mc:Choice Requires="a14">
        <xdr:graphicFrame macro="">
          <xdr:nvGraphicFramePr>
            <xdr:cNvPr id="2" name="Capex / opex">
              <a:extLst>
                <a:ext uri="{FF2B5EF4-FFF2-40B4-BE49-F238E27FC236}">
                  <a16:creationId xmlns:a16="http://schemas.microsoft.com/office/drawing/2014/main" id="{6DEAAFAF-6CB8-3114-F6AC-697185182B06}"/>
                </a:ext>
              </a:extLst>
            </xdr:cNvPr>
            <xdr:cNvGraphicFramePr/>
          </xdr:nvGraphicFramePr>
          <xdr:xfrm>
            <a:off x="0" y="0"/>
            <a:ext cx="0" cy="0"/>
          </xdr:xfrm>
          <a:graphic>
            <a:graphicData uri="http://schemas.microsoft.com/office/drawing/2010/slicer">
              <sle:slicer xmlns:sle="http://schemas.microsoft.com/office/drawing/2010/slicer" name="Capex / opex"/>
            </a:graphicData>
          </a:graphic>
        </xdr:graphicFrame>
      </mc:Choice>
      <mc:Fallback xmlns="">
        <xdr:sp macro="" textlink="">
          <xdr:nvSpPr>
            <xdr:cNvPr id="0" name=""/>
            <xdr:cNvSpPr>
              <a:spLocks noTextEdit="1"/>
            </xdr:cNvSpPr>
          </xdr:nvSpPr>
          <xdr:spPr>
            <a:xfrm>
              <a:off x="12856031" y="726620"/>
              <a:ext cx="1621963" cy="124513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144231</xdr:colOff>
      <xdr:row>4</xdr:row>
      <xdr:rowOff>2719</xdr:rowOff>
    </xdr:from>
    <xdr:to>
      <xdr:col>10</xdr:col>
      <xdr:colOff>534638</xdr:colOff>
      <xdr:row>33</xdr:row>
      <xdr:rowOff>111597</xdr:rowOff>
    </xdr:to>
    <mc:AlternateContent xmlns:mc="http://schemas.openxmlformats.org/markup-compatibility/2006" xmlns:a14="http://schemas.microsoft.com/office/drawing/2010/main">
      <mc:Choice Requires="a14">
        <xdr:graphicFrame macro="">
          <xdr:nvGraphicFramePr>
            <xdr:cNvPr id="4" name="Building">
              <a:extLst>
                <a:ext uri="{FF2B5EF4-FFF2-40B4-BE49-F238E27FC236}">
                  <a16:creationId xmlns:a16="http://schemas.microsoft.com/office/drawing/2014/main" id="{A165B439-FCB0-EC33-1278-40F7973B5D0B}"/>
                </a:ext>
              </a:extLst>
            </xdr:cNvPr>
            <xdr:cNvGraphicFramePr/>
          </xdr:nvGraphicFramePr>
          <xdr:xfrm>
            <a:off x="0" y="0"/>
            <a:ext cx="0" cy="0"/>
          </xdr:xfrm>
          <a:graphic>
            <a:graphicData uri="http://schemas.microsoft.com/office/drawing/2010/slicer">
              <sle:slicer xmlns:sle="http://schemas.microsoft.com/office/drawing/2010/slicer" name="Building"/>
            </a:graphicData>
          </a:graphic>
        </xdr:graphicFrame>
      </mc:Choice>
      <mc:Fallback xmlns="">
        <xdr:sp macro="" textlink="">
          <xdr:nvSpPr>
            <xdr:cNvPr id="0" name=""/>
            <xdr:cNvSpPr>
              <a:spLocks noTextEdit="1"/>
            </xdr:cNvSpPr>
          </xdr:nvSpPr>
          <xdr:spPr>
            <a:xfrm>
              <a:off x="10308767" y="726619"/>
              <a:ext cx="2360721" cy="535715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17688</xdr:colOff>
      <xdr:row>4</xdr:row>
      <xdr:rowOff>8160</xdr:rowOff>
    </xdr:from>
    <xdr:to>
      <xdr:col>7</xdr:col>
      <xdr:colOff>19050</xdr:colOff>
      <xdr:row>21</xdr:row>
      <xdr:rowOff>92529</xdr:rowOff>
    </xdr:to>
    <mc:AlternateContent xmlns:mc="http://schemas.openxmlformats.org/markup-compatibility/2006" xmlns:a14="http://schemas.microsoft.com/office/drawing/2010/main">
      <mc:Choice Requires="a14">
        <xdr:graphicFrame macro="">
          <xdr:nvGraphicFramePr>
            <xdr:cNvPr id="6" name="Lookup">
              <a:extLst>
                <a:ext uri="{FF2B5EF4-FFF2-40B4-BE49-F238E27FC236}">
                  <a16:creationId xmlns:a16="http://schemas.microsoft.com/office/drawing/2014/main" id="{B1B89E46-D77F-A56B-F0F7-9565324B5200}"/>
                </a:ext>
              </a:extLst>
            </xdr:cNvPr>
            <xdr:cNvGraphicFramePr/>
          </xdr:nvGraphicFramePr>
          <xdr:xfrm>
            <a:off x="0" y="0"/>
            <a:ext cx="0" cy="0"/>
          </xdr:xfrm>
          <a:graphic>
            <a:graphicData uri="http://schemas.microsoft.com/office/drawing/2010/slicer">
              <sle:slicer xmlns:sle="http://schemas.microsoft.com/office/drawing/2010/slicer" name="Lookup"/>
            </a:graphicData>
          </a:graphic>
        </xdr:graphicFrame>
      </mc:Choice>
      <mc:Fallback xmlns="">
        <xdr:sp macro="" textlink="">
          <xdr:nvSpPr>
            <xdr:cNvPr id="0" name=""/>
            <xdr:cNvSpPr>
              <a:spLocks noTextEdit="1"/>
            </xdr:cNvSpPr>
          </xdr:nvSpPr>
          <xdr:spPr>
            <a:xfrm>
              <a:off x="8211909" y="736146"/>
              <a:ext cx="1970316" cy="290922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35379</xdr:colOff>
      <xdr:row>4</xdr:row>
      <xdr:rowOff>21770</xdr:rowOff>
    </xdr:from>
    <xdr:to>
      <xdr:col>17</xdr:col>
      <xdr:colOff>248522</xdr:colOff>
      <xdr:row>20</xdr:row>
      <xdr:rowOff>57967</xdr:rowOff>
    </xdr:to>
    <mc:AlternateContent xmlns:mc="http://schemas.openxmlformats.org/markup-compatibility/2006" xmlns:a14="http://schemas.microsoft.com/office/drawing/2010/main">
      <mc:Choice Requires="a14">
        <xdr:graphicFrame macro="">
          <xdr:nvGraphicFramePr>
            <xdr:cNvPr id="3" name="Phase">
              <a:extLst>
                <a:ext uri="{FF2B5EF4-FFF2-40B4-BE49-F238E27FC236}">
                  <a16:creationId xmlns:a16="http://schemas.microsoft.com/office/drawing/2014/main" id="{EE27D517-1BD9-76C7-A741-C9491496F1BE}"/>
                </a:ext>
              </a:extLst>
            </xdr:cNvPr>
            <xdr:cNvGraphicFramePr/>
          </xdr:nvGraphicFramePr>
          <xdr:xfrm>
            <a:off x="0" y="0"/>
            <a:ext cx="0" cy="0"/>
          </xdr:xfrm>
          <a:graphic>
            <a:graphicData uri="http://schemas.microsoft.com/office/drawing/2010/slicer">
              <sle:slicer xmlns:sle="http://schemas.microsoft.com/office/drawing/2010/slicer" name="Phase"/>
            </a:graphicData>
          </a:graphic>
        </xdr:graphicFrame>
      </mc:Choice>
      <mc:Fallback xmlns="">
        <xdr:sp macro="" textlink="">
          <xdr:nvSpPr>
            <xdr:cNvPr id="0" name=""/>
            <xdr:cNvSpPr>
              <a:spLocks noTextEdit="1"/>
            </xdr:cNvSpPr>
          </xdr:nvSpPr>
          <xdr:spPr>
            <a:xfrm>
              <a:off x="14799129" y="742950"/>
              <a:ext cx="1831521" cy="256221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130629</xdr:colOff>
      <xdr:row>21</xdr:row>
      <xdr:rowOff>44904</xdr:rowOff>
    </xdr:from>
    <xdr:to>
      <xdr:col>4</xdr:col>
      <xdr:colOff>2620688</xdr:colOff>
      <xdr:row>34</xdr:row>
      <xdr:rowOff>35824</xdr:rowOff>
    </xdr:to>
    <xdr:pic>
      <xdr:nvPicPr>
        <xdr:cNvPr id="2" name="Picture 1">
          <a:extLst>
            <a:ext uri="{FF2B5EF4-FFF2-40B4-BE49-F238E27FC236}">
              <a16:creationId xmlns:a16="http://schemas.microsoft.com/office/drawing/2014/main" id="{ED7CB0F1-CB43-4C8E-A0EA-444D62157DF8}"/>
            </a:ext>
          </a:extLst>
        </xdr:cNvPr>
        <xdr:cNvPicPr>
          <a:picLocks noChangeAspect="1"/>
        </xdr:cNvPicPr>
      </xdr:nvPicPr>
      <xdr:blipFill>
        <a:blip xmlns:r="http://schemas.openxmlformats.org/officeDocument/2006/relationships" r:embed="rId1"/>
        <a:stretch>
          <a:fillRect/>
        </a:stretch>
      </xdr:blipFill>
      <xdr:spPr>
        <a:xfrm>
          <a:off x="130629" y="3845379"/>
          <a:ext cx="6240641" cy="2343595"/>
        </a:xfrm>
        <a:prstGeom prst="rect">
          <a:avLst/>
        </a:prstGeom>
        <a:ln>
          <a:solidFill>
            <a:schemeClr val="accent3"/>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97971</xdr:colOff>
      <xdr:row>42</xdr:row>
      <xdr:rowOff>178254</xdr:rowOff>
    </xdr:from>
    <xdr:to>
      <xdr:col>9</xdr:col>
      <xdr:colOff>3255779</xdr:colOff>
      <xdr:row>60</xdr:row>
      <xdr:rowOff>7746</xdr:rowOff>
    </xdr:to>
    <xdr:pic>
      <xdr:nvPicPr>
        <xdr:cNvPr id="2" name="Picture 1">
          <a:extLst>
            <a:ext uri="{FF2B5EF4-FFF2-40B4-BE49-F238E27FC236}">
              <a16:creationId xmlns:a16="http://schemas.microsoft.com/office/drawing/2014/main" id="{74D8D42E-1840-5198-C7E2-E1102CCE2C8A}"/>
            </a:ext>
          </a:extLst>
        </xdr:cNvPr>
        <xdr:cNvPicPr>
          <a:picLocks noChangeAspect="1"/>
        </xdr:cNvPicPr>
      </xdr:nvPicPr>
      <xdr:blipFill>
        <a:blip xmlns:r="http://schemas.openxmlformats.org/officeDocument/2006/relationships" r:embed="rId1"/>
        <a:stretch>
          <a:fillRect/>
        </a:stretch>
      </xdr:blipFill>
      <xdr:spPr>
        <a:xfrm>
          <a:off x="97971" y="7591426"/>
          <a:ext cx="16601482" cy="3164613"/>
        </a:xfrm>
        <a:prstGeom prst="rect">
          <a:avLst/>
        </a:prstGeom>
        <a:ln>
          <a:solidFill>
            <a:schemeClr val="accent1"/>
          </a:solidFill>
        </a:ln>
      </xdr:spPr>
    </xdr:pic>
    <xdr:clientData/>
  </xdr:twoCellAnchor>
  <xdr:twoCellAnchor editAs="oneCell">
    <xdr:from>
      <xdr:col>0</xdr:col>
      <xdr:colOff>0</xdr:colOff>
      <xdr:row>24</xdr:row>
      <xdr:rowOff>31296</xdr:rowOff>
    </xdr:from>
    <xdr:to>
      <xdr:col>7</xdr:col>
      <xdr:colOff>588122</xdr:colOff>
      <xdr:row>45</xdr:row>
      <xdr:rowOff>2227</xdr:rowOff>
    </xdr:to>
    <xdr:pic>
      <xdr:nvPicPr>
        <xdr:cNvPr id="3" name="Picture 2">
          <a:extLst>
            <a:ext uri="{FF2B5EF4-FFF2-40B4-BE49-F238E27FC236}">
              <a16:creationId xmlns:a16="http://schemas.microsoft.com/office/drawing/2014/main" id="{198A6BDA-65B3-8B3C-377E-DC542B555A2F}"/>
            </a:ext>
          </a:extLst>
        </xdr:cNvPr>
        <xdr:cNvPicPr>
          <a:picLocks noChangeAspect="1"/>
        </xdr:cNvPicPr>
      </xdr:nvPicPr>
      <xdr:blipFill>
        <a:blip xmlns:r="http://schemas.openxmlformats.org/officeDocument/2006/relationships" r:embed="rId2"/>
        <a:stretch>
          <a:fillRect/>
        </a:stretch>
      </xdr:blipFill>
      <xdr:spPr>
        <a:xfrm>
          <a:off x="0" y="4022271"/>
          <a:ext cx="11770139" cy="3771406"/>
        </a:xfrm>
        <a:prstGeom prst="rect">
          <a:avLst/>
        </a:prstGeom>
        <a:ln>
          <a:solidFill>
            <a:schemeClr val="accent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97971</xdr:colOff>
      <xdr:row>40</xdr:row>
      <xdr:rowOff>178254</xdr:rowOff>
    </xdr:from>
    <xdr:to>
      <xdr:col>11</xdr:col>
      <xdr:colOff>948596</xdr:colOff>
      <xdr:row>58</xdr:row>
      <xdr:rowOff>9103</xdr:rowOff>
    </xdr:to>
    <xdr:pic>
      <xdr:nvPicPr>
        <xdr:cNvPr id="2" name="Picture 1">
          <a:extLst>
            <a:ext uri="{FF2B5EF4-FFF2-40B4-BE49-F238E27FC236}">
              <a16:creationId xmlns:a16="http://schemas.microsoft.com/office/drawing/2014/main" id="{4ADE716A-18E1-476C-ADC2-143E9543733A}"/>
            </a:ext>
          </a:extLst>
        </xdr:cNvPr>
        <xdr:cNvPicPr>
          <a:picLocks noChangeAspect="1"/>
        </xdr:cNvPicPr>
      </xdr:nvPicPr>
      <xdr:blipFill>
        <a:blip xmlns:r="http://schemas.openxmlformats.org/officeDocument/2006/relationships" r:embed="rId1"/>
        <a:stretch>
          <a:fillRect/>
        </a:stretch>
      </xdr:blipFill>
      <xdr:spPr>
        <a:xfrm>
          <a:off x="97971" y="7807779"/>
          <a:ext cx="15570065" cy="3258497"/>
        </a:xfrm>
        <a:prstGeom prst="rect">
          <a:avLst/>
        </a:prstGeom>
        <a:ln>
          <a:solidFill>
            <a:schemeClr val="accent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30389</xdr:colOff>
      <xdr:row>21</xdr:row>
      <xdr:rowOff>1360</xdr:rowOff>
    </xdr:from>
    <xdr:to>
      <xdr:col>6</xdr:col>
      <xdr:colOff>83113</xdr:colOff>
      <xdr:row>59</xdr:row>
      <xdr:rowOff>64312</xdr:rowOff>
    </xdr:to>
    <xdr:pic>
      <xdr:nvPicPr>
        <xdr:cNvPr id="3" name="Picture 2">
          <a:extLst>
            <a:ext uri="{FF2B5EF4-FFF2-40B4-BE49-F238E27FC236}">
              <a16:creationId xmlns:a16="http://schemas.microsoft.com/office/drawing/2014/main" id="{8B92EBD3-A3F9-5906-BDAD-778C277C26CD}"/>
            </a:ext>
          </a:extLst>
        </xdr:cNvPr>
        <xdr:cNvPicPr>
          <a:picLocks noChangeAspect="1"/>
        </xdr:cNvPicPr>
      </xdr:nvPicPr>
      <xdr:blipFill>
        <a:blip xmlns:r="http://schemas.openxmlformats.org/officeDocument/2006/relationships" r:embed="rId1"/>
        <a:stretch>
          <a:fillRect/>
        </a:stretch>
      </xdr:blipFill>
      <xdr:spPr>
        <a:xfrm>
          <a:off x="559556" y="4001860"/>
          <a:ext cx="8313165" cy="7304672"/>
        </a:xfrm>
        <a:prstGeom prst="rect">
          <a:avLst/>
        </a:prstGeom>
        <a:ln>
          <a:solidFill>
            <a:schemeClr val="accent6"/>
          </a:solidFill>
        </a:ln>
      </xdr:spPr>
    </xdr:pic>
    <xdr:clientData/>
  </xdr:twoCellAnchor>
  <xdr:twoCellAnchor editAs="oneCell">
    <xdr:from>
      <xdr:col>7</xdr:col>
      <xdr:colOff>190499</xdr:colOff>
      <xdr:row>21</xdr:row>
      <xdr:rowOff>10583</xdr:rowOff>
    </xdr:from>
    <xdr:to>
      <xdr:col>11</xdr:col>
      <xdr:colOff>788576</xdr:colOff>
      <xdr:row>36</xdr:row>
      <xdr:rowOff>55688</xdr:rowOff>
    </xdr:to>
    <xdr:pic>
      <xdr:nvPicPr>
        <xdr:cNvPr id="2" name="Picture 1">
          <a:extLst>
            <a:ext uri="{FF2B5EF4-FFF2-40B4-BE49-F238E27FC236}">
              <a16:creationId xmlns:a16="http://schemas.microsoft.com/office/drawing/2014/main" id="{2557D4AC-FA67-8E8D-9666-7BFD78491356}"/>
            </a:ext>
          </a:extLst>
        </xdr:cNvPr>
        <xdr:cNvPicPr>
          <a:picLocks noChangeAspect="1"/>
        </xdr:cNvPicPr>
      </xdr:nvPicPr>
      <xdr:blipFill>
        <a:blip xmlns:r="http://schemas.openxmlformats.org/officeDocument/2006/relationships" r:embed="rId2"/>
        <a:stretch>
          <a:fillRect/>
        </a:stretch>
      </xdr:blipFill>
      <xdr:spPr>
        <a:xfrm>
          <a:off x="9143999" y="4011083"/>
          <a:ext cx="4892187" cy="2902605"/>
        </a:xfrm>
        <a:prstGeom prst="rect">
          <a:avLst/>
        </a:prstGeom>
        <a:ln>
          <a:solidFill>
            <a:schemeClr val="accent1"/>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43090</xdr:colOff>
      <xdr:row>21</xdr:row>
      <xdr:rowOff>128513</xdr:rowOff>
    </xdr:from>
    <xdr:to>
      <xdr:col>9</xdr:col>
      <xdr:colOff>551033</xdr:colOff>
      <xdr:row>29</xdr:row>
      <xdr:rowOff>135518</xdr:rowOff>
    </xdr:to>
    <xdr:pic>
      <xdr:nvPicPr>
        <xdr:cNvPr id="2" name="Picture 1">
          <a:extLst>
            <a:ext uri="{FF2B5EF4-FFF2-40B4-BE49-F238E27FC236}">
              <a16:creationId xmlns:a16="http://schemas.microsoft.com/office/drawing/2014/main" id="{25FBA080-652F-4393-B91F-375970F376AF}"/>
            </a:ext>
          </a:extLst>
        </xdr:cNvPr>
        <xdr:cNvPicPr>
          <a:picLocks noChangeAspect="1"/>
        </xdr:cNvPicPr>
      </xdr:nvPicPr>
      <xdr:blipFill>
        <a:blip xmlns:r="http://schemas.openxmlformats.org/officeDocument/2006/relationships" r:embed="rId1"/>
        <a:stretch>
          <a:fillRect/>
        </a:stretch>
      </xdr:blipFill>
      <xdr:spPr>
        <a:xfrm>
          <a:off x="43090" y="3906763"/>
          <a:ext cx="12536355" cy="1449059"/>
        </a:xfrm>
        <a:prstGeom prst="rect">
          <a:avLst/>
        </a:prstGeom>
        <a:ln w="19050">
          <a:solidFill>
            <a:schemeClr val="accent3"/>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161925</xdr:colOff>
      <xdr:row>0</xdr:row>
      <xdr:rowOff>95250</xdr:rowOff>
    </xdr:from>
    <xdr:to>
      <xdr:col>19</xdr:col>
      <xdr:colOff>477145</xdr:colOff>
      <xdr:row>9</xdr:row>
      <xdr:rowOff>121336</xdr:rowOff>
    </xdr:to>
    <xdr:pic>
      <xdr:nvPicPr>
        <xdr:cNvPr id="2" name="Picture 1">
          <a:extLst>
            <a:ext uri="{FF2B5EF4-FFF2-40B4-BE49-F238E27FC236}">
              <a16:creationId xmlns:a16="http://schemas.microsoft.com/office/drawing/2014/main" id="{C20CD837-EEB8-6E09-3122-602C8B5C5AD3}"/>
            </a:ext>
          </a:extLst>
        </xdr:cNvPr>
        <xdr:cNvPicPr>
          <a:picLocks noChangeAspect="1"/>
        </xdr:cNvPicPr>
      </xdr:nvPicPr>
      <xdr:blipFill>
        <a:blip xmlns:r="http://schemas.openxmlformats.org/officeDocument/2006/relationships" r:embed="rId1"/>
        <a:stretch>
          <a:fillRect/>
        </a:stretch>
      </xdr:blipFill>
      <xdr:spPr>
        <a:xfrm>
          <a:off x="6657975" y="95250"/>
          <a:ext cx="6411220" cy="1743318"/>
        </a:xfrm>
        <a:prstGeom prst="rect">
          <a:avLst/>
        </a:prstGeom>
        <a:ln>
          <a:solidFill>
            <a:srgbClr val="FFC000"/>
          </a:solidFill>
        </a:ln>
      </xdr:spPr>
    </xdr:pic>
    <xdr:clientData/>
  </xdr:twoCellAnchor>
  <xdr:twoCellAnchor editAs="oneCell">
    <xdr:from>
      <xdr:col>9</xdr:col>
      <xdr:colOff>171450</xdr:colOff>
      <xdr:row>10</xdr:row>
      <xdr:rowOff>28575</xdr:rowOff>
    </xdr:from>
    <xdr:to>
      <xdr:col>19</xdr:col>
      <xdr:colOff>458091</xdr:colOff>
      <xdr:row>19</xdr:row>
      <xdr:rowOff>38341</xdr:rowOff>
    </xdr:to>
    <xdr:pic>
      <xdr:nvPicPr>
        <xdr:cNvPr id="3" name="Picture 2">
          <a:extLst>
            <a:ext uri="{FF2B5EF4-FFF2-40B4-BE49-F238E27FC236}">
              <a16:creationId xmlns:a16="http://schemas.microsoft.com/office/drawing/2014/main" id="{B4551AB6-AA23-7A12-256A-A4746FAD62BC}"/>
            </a:ext>
          </a:extLst>
        </xdr:cNvPr>
        <xdr:cNvPicPr>
          <a:picLocks noChangeAspect="1"/>
        </xdr:cNvPicPr>
      </xdr:nvPicPr>
      <xdr:blipFill>
        <a:blip xmlns:r="http://schemas.openxmlformats.org/officeDocument/2006/relationships" r:embed="rId2"/>
        <a:stretch>
          <a:fillRect/>
        </a:stretch>
      </xdr:blipFill>
      <xdr:spPr>
        <a:xfrm>
          <a:off x="6667500" y="1933575"/>
          <a:ext cx="6382641" cy="1724266"/>
        </a:xfrm>
        <a:prstGeom prst="rect">
          <a:avLst/>
        </a:prstGeom>
        <a:ln>
          <a:solidFill>
            <a:schemeClr val="accent5">
              <a:lumMod val="75000"/>
            </a:schemeClr>
          </a:solidFill>
        </a:ln>
      </xdr:spPr>
    </xdr:pic>
    <xdr:clientData/>
  </xdr:twoCellAnchor>
  <xdr:twoCellAnchor editAs="oneCell">
    <xdr:from>
      <xdr:col>9</xdr:col>
      <xdr:colOff>182336</xdr:colOff>
      <xdr:row>19</xdr:row>
      <xdr:rowOff>106136</xdr:rowOff>
    </xdr:from>
    <xdr:to>
      <xdr:col>19</xdr:col>
      <xdr:colOff>458084</xdr:colOff>
      <xdr:row>28</xdr:row>
      <xdr:rowOff>92767</xdr:rowOff>
    </xdr:to>
    <xdr:pic>
      <xdr:nvPicPr>
        <xdr:cNvPr id="4" name="Picture 3">
          <a:extLst>
            <a:ext uri="{FF2B5EF4-FFF2-40B4-BE49-F238E27FC236}">
              <a16:creationId xmlns:a16="http://schemas.microsoft.com/office/drawing/2014/main" id="{29818475-52EA-0B83-DD5E-709682180FB6}"/>
            </a:ext>
          </a:extLst>
        </xdr:cNvPr>
        <xdr:cNvPicPr>
          <a:picLocks noChangeAspect="1"/>
        </xdr:cNvPicPr>
      </xdr:nvPicPr>
      <xdr:blipFill>
        <a:blip xmlns:r="http://schemas.openxmlformats.org/officeDocument/2006/relationships" r:embed="rId3"/>
        <a:stretch>
          <a:fillRect/>
        </a:stretch>
      </xdr:blipFill>
      <xdr:spPr>
        <a:xfrm>
          <a:off x="7097486" y="3544661"/>
          <a:ext cx="6847998" cy="1615406"/>
        </a:xfrm>
        <a:prstGeom prst="rect">
          <a:avLst/>
        </a:prstGeom>
        <a:ln>
          <a:solidFill>
            <a:schemeClr val="accent5">
              <a:lumMod val="75000"/>
            </a:schemeClr>
          </a:solidFill>
        </a:ln>
      </xdr:spPr>
    </xdr:pic>
    <xdr:clientData/>
  </xdr:twoCellAnchor>
  <xdr:twoCellAnchor editAs="oneCell">
    <xdr:from>
      <xdr:col>9</xdr:col>
      <xdr:colOff>191861</xdr:colOff>
      <xdr:row>29</xdr:row>
      <xdr:rowOff>40821</xdr:rowOff>
    </xdr:from>
    <xdr:to>
      <xdr:col>19</xdr:col>
      <xdr:colOff>436760</xdr:colOff>
      <xdr:row>39</xdr:row>
      <xdr:rowOff>35380</xdr:rowOff>
    </xdr:to>
    <xdr:pic>
      <xdr:nvPicPr>
        <xdr:cNvPr id="5" name="Picture 4">
          <a:extLst>
            <a:ext uri="{FF2B5EF4-FFF2-40B4-BE49-F238E27FC236}">
              <a16:creationId xmlns:a16="http://schemas.microsoft.com/office/drawing/2014/main" id="{B9DC6015-7C93-ED67-B0DB-D8ABCE0E6A59}"/>
            </a:ext>
          </a:extLst>
        </xdr:cNvPr>
        <xdr:cNvPicPr>
          <a:picLocks noChangeAspect="1"/>
        </xdr:cNvPicPr>
      </xdr:nvPicPr>
      <xdr:blipFill>
        <a:blip xmlns:r="http://schemas.openxmlformats.org/officeDocument/2006/relationships" r:embed="rId4"/>
        <a:stretch>
          <a:fillRect/>
        </a:stretch>
      </xdr:blipFill>
      <xdr:spPr>
        <a:xfrm>
          <a:off x="7154636" y="5289096"/>
          <a:ext cx="6817149" cy="1804309"/>
        </a:xfrm>
        <a:prstGeom prst="rect">
          <a:avLst/>
        </a:prstGeom>
        <a:ln>
          <a:solidFill>
            <a:schemeClr val="accent5">
              <a:lumMod val="75000"/>
            </a:schemeClr>
          </a:solidFill>
        </a:ln>
      </xdr:spPr>
    </xdr:pic>
    <xdr:clientData/>
  </xdr:twoCellAnchor>
  <xdr:twoCellAnchor editAs="oneCell">
    <xdr:from>
      <xdr:col>9</xdr:col>
      <xdr:colOff>183696</xdr:colOff>
      <xdr:row>40</xdr:row>
      <xdr:rowOff>19050</xdr:rowOff>
    </xdr:from>
    <xdr:to>
      <xdr:col>19</xdr:col>
      <xdr:colOff>420882</xdr:colOff>
      <xdr:row>50</xdr:row>
      <xdr:rowOff>27222</xdr:rowOff>
    </xdr:to>
    <xdr:pic>
      <xdr:nvPicPr>
        <xdr:cNvPr id="6" name="Picture 5">
          <a:extLst>
            <a:ext uri="{FF2B5EF4-FFF2-40B4-BE49-F238E27FC236}">
              <a16:creationId xmlns:a16="http://schemas.microsoft.com/office/drawing/2014/main" id="{AD04CB1F-5C2F-4A1F-9841-19C5CFC781FE}"/>
            </a:ext>
          </a:extLst>
        </xdr:cNvPr>
        <xdr:cNvPicPr>
          <a:picLocks noChangeAspect="1"/>
        </xdr:cNvPicPr>
      </xdr:nvPicPr>
      <xdr:blipFill>
        <a:blip xmlns:r="http://schemas.openxmlformats.org/officeDocument/2006/relationships" r:embed="rId5"/>
        <a:stretch>
          <a:fillRect/>
        </a:stretch>
      </xdr:blipFill>
      <xdr:spPr>
        <a:xfrm>
          <a:off x="7146471" y="7258050"/>
          <a:ext cx="6809436" cy="1820636"/>
        </a:xfrm>
        <a:prstGeom prst="rect">
          <a:avLst/>
        </a:prstGeom>
        <a:ln>
          <a:solidFill>
            <a:schemeClr val="accent5">
              <a:lumMod val="75000"/>
            </a:schemeClr>
          </a:solidFill>
        </a:ln>
      </xdr:spPr>
    </xdr:pic>
    <xdr:clientData/>
  </xdr:twoCellAnchor>
</xdr:wsDr>
</file>

<file path=xl/persons/person.xml><?xml version="1.0" encoding="utf-8"?>
<personList xmlns="http://schemas.microsoft.com/office/spreadsheetml/2018/threadedcomments" xmlns:x="http://schemas.openxmlformats.org/spreadsheetml/2006/main">
  <person displayName="Crowhurst, Stacey" id="{25485ED3-42D9-422C-9A77-5F76F434CCD0}" userId="S::stacey.crowhurst@vanderbilt.edu::9bff91b9-a036-4fd8-91c7-d442dc172f21" providerId="AD"/>
  <person displayName="Partlow, Hudson D" id="{0C47CDF9-4FCC-43BD-B877-58DDF07E9905}" userId="S::hudson.d.partlow.1@vanderbilt.edu::7eaa2235-5507-40d2-8389-4d248c808256"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owhurst, Stacey" refreshedDate="46039.509584837964" createdVersion="8" refreshedVersion="8" minRefreshableVersion="3" recordCount="87" xr:uid="{0C8C8B98-D787-4A97-9646-D3175D81F4D8}">
  <cacheSource type="worksheet">
    <worksheetSource ref="B3:N90" sheet="Project Status"/>
  </cacheSource>
  <cacheFields count="13">
    <cacheField name="Capex / Opex" numFmtId="0">
      <sharedItems count="3">
        <s v="Operating"/>
        <s v="Capital"/>
        <s v="TBD"/>
      </sharedItems>
    </cacheField>
    <cacheField name="eBuilder" numFmtId="0">
      <sharedItems containsSemiMixedTypes="0" containsString="0" containsNumber="1" containsInteger="1" minValue="10085" maxValue="21198"/>
    </cacheField>
    <cacheField name="AiM" numFmtId="0">
      <sharedItems containsString="0" containsBlank="1" containsNumber="1" containsInteger="1" minValue="9" maxValue="36015"/>
    </cacheField>
    <cacheField name="Oracle" numFmtId="0">
      <sharedItems containsBlank="1"/>
    </cacheField>
    <cacheField name="School" numFmtId="0">
      <sharedItems/>
    </cacheField>
    <cacheField name="Lookup" numFmtId="0">
      <sharedItems count="11">
        <s v="Peabody"/>
        <s v="School of Medicine"/>
        <s v="School of Nursing"/>
        <s v="Law"/>
        <s v="Blair"/>
        <s v="Divinity"/>
        <s v="Arts &amp; Science"/>
        <s v="Engineering"/>
        <s v="Owen"/>
        <s v="Other"/>
        <s v="College of Connected Computing"/>
      </sharedItems>
    </cacheField>
    <cacheField name="Building" numFmtId="0">
      <sharedItems count="33">
        <s v="ONE MAGNOLIA CIRCLE"/>
        <s v="MRB III BIO/SCI"/>
        <s v="GODCHAUX HALL"/>
        <s v="LAW SCHOOL"/>
        <s v="BLAIR SCHOOL OF MUSIC"/>
        <s v="DIVINITY"/>
        <s v="BRYAN BLDG"/>
        <s v="JESUP PSYCHOLOGY"/>
        <s v="WYATT CENTER"/>
        <s v="KECK FREE ELECTRON LASER CTR"/>
        <s v="SC CHEMISTRY"/>
        <s v="PEABODY ADMINISTRATION"/>
        <s v="BENSON OLD CENTRAL"/>
        <s v="1025 16TH AVE S"/>
        <s v="WILSON HALL"/>
        <s v="SC SCIENCE &amp; ENGINEERING"/>
        <s v="BUTTRICK HALL"/>
        <s v="OWEN GRAD MGMT"/>
        <s v="SIX MAGNOLIA CIRCLE"/>
        <s v="1025 16TH AVE GARAGE"/>
        <s v="SC PHYSICS &amp; ASTRONOMY"/>
        <s v="BIOMOLECULAR NMR"/>
        <s v="VAUGHN HOME"/>
        <s v="FRIST HALL"/>
        <s v="SEIGENTHALER CENTER"/>
        <s v="FURMAN HALL"/>
        <s v="FEATHERINGILL-JACOBS HALL"/>
        <s v="SC MOLEC BIOLOGY"/>
        <s v="OLIN HALL"/>
        <s v="SC MATH"/>
        <s v="CALHOUN HALL"/>
        <s v="COHEN MEMORIAL"/>
        <s v="17TH &amp; HORTON"/>
      </sharedItems>
    </cacheField>
    <cacheField name="Project" numFmtId="0">
      <sharedItems count="87">
        <s v="One Magnolia Circle - Modify/Upgrade Electrical and Grounding"/>
        <s v="MRB III - 4th Floor - Replace Controls (Phase 2)"/>
        <s v="Godchaux Hall - HVAC Upgrade"/>
        <s v="Law School - Fire Alarm System Replacement"/>
        <s v="Blair School of Music - Elevator #3 Modernization"/>
        <s v="Divinity Air Handling Unit Replacement, (5/6)- Phase 1"/>
        <s v="Bryan Building - Swing Space Renovation - A&amp;S Planning"/>
        <s v="Divinity Air Handling Unit Replacement,(1/3) - Phase 2 with Benton - FY26"/>
        <s v="Jesup - Roof Replacement"/>
        <s v="Wyatt Center - Window Replacement"/>
        <s v="Law School - Electrical Gear Replacement - FY23 FR"/>
        <s v="Wyatt Center - VAV Replacement"/>
        <s v="Keck FEL - Roof Replacement"/>
        <s v="SC Chemistry (SC7) - Elevator 1 &amp; 2 Modernization"/>
        <s v="Wyatt Center - Roof Replacement"/>
        <s v="MRB III - Steam Coil Replacement"/>
        <s v="Blair School of Music - AHU - 1 Replacement - Phase 1 - FY25"/>
        <s v="Peabody Administration - Envelope Repairs"/>
        <s v="Benson Old Central - Replace Soffit and Doors"/>
        <s v="1025 16th Avenue - Mechanical and Electrical Upgrades"/>
        <s v="Keck FEL - Mechanical Upgrades"/>
        <s v="Wilson Hall - Fire Alarm Replacement"/>
        <s v="SC-7 Chemistry - SG-1 Removal and Connection to Central Plant Steam"/>
        <s v="SC-5 - Chemical Discharge Replacement"/>
        <s v="Wyatt Center - Elevator #2 Modernization"/>
        <s v="Buttrick Hall - 3rd Floor Inequality Renovations"/>
        <s v="MRB III - 9th Floor (with 4 ,5 &amp; 8) - Replace Controls (Phase 3)"/>
        <s v="Blair School of Music - Steam Line - FY 23"/>
        <s v="Owen - Roof Replacement (Third Level)"/>
        <s v="Six Magnolia Circle - Foundation Repairs"/>
        <s v="SC4 - Interstitial Space HVAC Modifications"/>
        <s v="OGSM Old Mechanical- Slate Roof &amp; Window Replacement"/>
        <s v="Law School - Sections 1, 2, &amp; 3  Roof Replacement"/>
        <s v="One Magnolia Circle - Retaining Wall Repair"/>
        <s v="1025 16th Avenue - Patio Repairs"/>
        <s v="SC6 - HVAC Upgrades - Feasibility Study"/>
        <s v="Wilson Hall - HVAC Replacement"/>
        <s v="SC5 - HVAC Replacement (Design Services)"/>
        <s v="One Magnolia Circle - Elevator Modernization"/>
        <s v="Law School - Exterior Window Painting"/>
        <s v="NMR - Replace Air Compressors"/>
        <s v="Buttrick Hall - Elevator Upgrades"/>
        <s v="Benson Hall - Elevator Upgrades"/>
        <s v="Wilson Hall - Elevator Upgrades"/>
        <s v="Vaughn Home - Exterior Improvements"/>
        <s v="Frist Hall - Stairwell Roof Replacement"/>
        <s v="Blair School of Music - AHU 2/3 Replacement  - Phase 2 - FY26"/>
        <s v="Wilson Hall - Lighting Retrofit for 103 and 126"/>
        <s v="1025 16th Avenue - Security System Replacement"/>
        <s v="Seigenthaler Building - HVAC Improvements"/>
        <s v="Furman Hall - Elevator Modernization"/>
        <s v="Vaughn Home - Roof Replacement"/>
        <s v="1025 16th Avenue - Roof Replacement"/>
        <s v="Law School - Elevator 1 Modernization"/>
        <s v="Wilson Hall - 1st Floor Urinal Replacement"/>
        <s v="SC5 - HVAC Upgrade Floors 1 and 2 (Phase 1)"/>
        <s v="SC5 - HVAC Upgrade Floors 4, 5, and 7 (Phase 2)"/>
        <s v="SC5 - HVAC Upgrade Floors 3 and 6 (Phase 3)"/>
        <s v="SC5 - HVAC Upgrade Floors 8 and 9 (Phase 4)"/>
        <s v="Featheringill-Jacobs Hall - Hot Water Tank Replacement"/>
        <s v="Law School - Roof Ladders"/>
        <s v="MRBIII - 5th Floor Controls"/>
        <s v="SC2 - MEP Feasibility Study"/>
        <s v="Godchaux Hall - Phase 2 HVAC Upgrades and Roof Replacement"/>
        <s v="Buttrick Hall - Insulate First Floor Slab"/>
        <s v="Olin Hall - Exterior Facade Cleaning"/>
        <s v="SC1 - MEP Feasibility Study"/>
        <s v="Calhoun Hall - MEP Feasibility Study"/>
        <s v="Furman Hall - MEP Feasibility Study"/>
        <s v="Law School - MEP Feasibility Study"/>
        <s v="Godchaux Hall - Replace Fire Pump"/>
        <s v="1025 16th Avenue - Electrical and HVAC Study"/>
        <s v="MRBIII - Lecture Hall V1220 Lighting Upgrade"/>
        <s v="MRBIII - Chemical Discharge Tank Replacement"/>
        <s v="MRBIII - Cooling Tower Overhaul"/>
        <s v="SC2 Restroom Upgrades"/>
        <s v="Olin Hall 2nd Floor Chiller"/>
        <s v="Cohen Memorial - Water Intrusion Repair"/>
        <s v="Wyatt Center Rotunda Repairs"/>
        <s v="17th &amp; Horton Elevators Modernization"/>
        <s v="Buttrick Hall - Restore / Replace Exterior Wood Doors and Closures"/>
        <s v="Law School Partial Roof Replacement"/>
        <s v="Law School Walkway Replacement"/>
        <s v="SC2 Molecular Biology HVAC Replacement"/>
        <s v="Law School - Air Compressor Replacement #6"/>
        <s v="Blair School Legacy VAV Replacement and Duct Encapsulation"/>
        <s v="SC7 - AHUs Replacement"/>
      </sharedItems>
    </cacheField>
    <cacheField name="Project Status" numFmtId="0">
      <sharedItems/>
    </cacheField>
    <cacheField name="Phase" numFmtId="0">
      <sharedItems count="10">
        <s v="Finalized"/>
        <s v="Warranty or Construction Closeout"/>
        <s v="Construction"/>
        <s v="Design"/>
        <s v="Not Started"/>
        <s v="Financial Closeout"/>
        <s v="Construction Closeout"/>
        <s v="Programming or Planning"/>
        <s v="Bidding"/>
        <s v="Award"/>
      </sharedItems>
    </cacheField>
    <cacheField name="Manager" numFmtId="0">
      <sharedItems/>
    </cacheField>
    <cacheField name="Estimated total budget" numFmtId="164">
      <sharedItems containsSemiMixedTypes="0" containsString="0" containsNumber="1" minValue="0" maxValue="3960000"/>
    </cacheField>
    <cacheField name="Approved budget" numFmtId="164">
      <sharedItems containsSemiMixedTypes="0" containsString="0" containsNumber="1" minValue="0" maxValue="3800000"/>
    </cacheField>
  </cacheFields>
  <extLst>
    <ext xmlns:x14="http://schemas.microsoft.com/office/spreadsheetml/2009/9/main" uri="{725AE2AE-9491-48be-B2B4-4EB974FC3084}">
      <x14:pivotCacheDefinition pivotCacheId="3962725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7">
  <r>
    <x v="0"/>
    <n v="10085"/>
    <n v="4591"/>
    <m/>
    <s v="21000 - Peabody College: Office of the Dean"/>
    <x v="0"/>
    <x v="0"/>
    <x v="0"/>
    <s v="Complete"/>
    <x v="0"/>
    <s v="Sean Rewers"/>
    <n v="17500"/>
    <n v="22000"/>
  </r>
  <r>
    <x v="1"/>
    <n v="10098"/>
    <n v="1627"/>
    <s v="CP_400023"/>
    <s v="18200 - Basic Sciences: Office of the Dean"/>
    <x v="1"/>
    <x v="1"/>
    <x v="1"/>
    <s v="Complete"/>
    <x v="0"/>
    <s v="Hans Mooy"/>
    <n v="1216485.5"/>
    <n v="1216485.5"/>
  </r>
  <r>
    <x v="1"/>
    <n v="10146"/>
    <n v="8206"/>
    <s v="CP_400025"/>
    <s v="19100 - Nursing: Business Affairs"/>
    <x v="2"/>
    <x v="2"/>
    <x v="2"/>
    <s v="Complete"/>
    <x v="0"/>
    <s v="Sean Rewers"/>
    <n v="318000"/>
    <n v="318057"/>
  </r>
  <r>
    <x v="1"/>
    <n v="20179"/>
    <n v="36015"/>
    <s v="CP_400024"/>
    <s v="17100 - Law: Business Affairs"/>
    <x v="3"/>
    <x v="3"/>
    <x v="3"/>
    <s v="Complete"/>
    <x v="0"/>
    <s v="Bob Grummon"/>
    <n v="1445389"/>
    <n v="1445389"/>
  </r>
  <r>
    <x v="1"/>
    <n v="20336"/>
    <n v="20075"/>
    <s v="CP_400056"/>
    <s v="13000 - Blair: Office of the Dean"/>
    <x v="4"/>
    <x v="4"/>
    <x v="4"/>
    <s v="Complete"/>
    <x v="0"/>
    <s v="Ben Bedock"/>
    <n v="327890"/>
    <n v="327890"/>
  </r>
  <r>
    <x v="1"/>
    <n v="20431"/>
    <n v="8084"/>
    <s v="CP_400108"/>
    <s v="14000 - Divinity: Office of the Dean"/>
    <x v="5"/>
    <x v="5"/>
    <x v="5"/>
    <s v="Active"/>
    <x v="1"/>
    <s v="Hans Mooy"/>
    <n v="3800000"/>
    <n v="3800000"/>
  </r>
  <r>
    <x v="1"/>
    <n v="20478"/>
    <n v="8672"/>
    <s v="CP_400182"/>
    <s v="12000 - Arts and Science: Office of the Dean"/>
    <x v="6"/>
    <x v="6"/>
    <x v="6"/>
    <s v="Active"/>
    <x v="1"/>
    <s v="Cathy Bartlett"/>
    <n v="2790000"/>
    <n v="2790000"/>
  </r>
  <r>
    <x v="1"/>
    <n v="20489"/>
    <n v="8051"/>
    <s v="CP_400183"/>
    <s v="14000 - Divinity: Office of the Dean"/>
    <x v="5"/>
    <x v="5"/>
    <x v="7"/>
    <s v="Active"/>
    <x v="2"/>
    <s v="Jay Surprenant"/>
    <n v="3600000"/>
    <n v="3600000"/>
  </r>
  <r>
    <x v="1"/>
    <n v="20497"/>
    <n v="529"/>
    <s v="CP_400127"/>
    <s v="21000 - Peabody College: Office of the Dean"/>
    <x v="0"/>
    <x v="7"/>
    <x v="8"/>
    <s v="Complete"/>
    <x v="0"/>
    <s v="Ben Bedock"/>
    <n v="456850"/>
    <n v="456850"/>
  </r>
  <r>
    <x v="1"/>
    <n v="20506"/>
    <n v="1170"/>
    <s v="CP_400192"/>
    <s v="21000 - Peabody College: Office of the Dean"/>
    <x v="0"/>
    <x v="8"/>
    <x v="9"/>
    <s v="Complete"/>
    <x v="0"/>
    <s v="Ben Bedock"/>
    <n v="344155.26"/>
    <n v="344155.26"/>
  </r>
  <r>
    <x v="1"/>
    <n v="20560"/>
    <n v="4602"/>
    <m/>
    <s v="17000 - Law School: Office of the Dean"/>
    <x v="3"/>
    <x v="3"/>
    <x v="10"/>
    <s v="Deferred / On Hold"/>
    <x v="3"/>
    <s v="Sean Rewers"/>
    <n v="905610"/>
    <n v="0"/>
  </r>
  <r>
    <x v="1"/>
    <n v="20562"/>
    <n v="4564"/>
    <s v="CP_400175"/>
    <s v="21000 - Peabody College: Office of the Dean"/>
    <x v="0"/>
    <x v="8"/>
    <x v="11"/>
    <s v="Complete"/>
    <x v="0"/>
    <s v="Sean Rewers"/>
    <n v="400000"/>
    <n v="405791"/>
  </r>
  <r>
    <x v="1"/>
    <n v="20563"/>
    <n v="4624"/>
    <m/>
    <s v="15000 - Engineering: Office of the Dean"/>
    <x v="7"/>
    <x v="9"/>
    <x v="12"/>
    <s v="Deferred / On Hold"/>
    <x v="4"/>
    <s v="Ben Bedock"/>
    <n v="386000"/>
    <n v="0"/>
  </r>
  <r>
    <x v="1"/>
    <n v="20566"/>
    <n v="20054"/>
    <s v="CP_400151"/>
    <s v="12000 - Arts and Science: Office of the Dean"/>
    <x v="6"/>
    <x v="10"/>
    <x v="13"/>
    <s v="Complete"/>
    <x v="0"/>
    <s v="Ben Bedock"/>
    <n v="781870"/>
    <n v="781870"/>
  </r>
  <r>
    <x v="1"/>
    <n v="20573"/>
    <n v="8047"/>
    <s v="CP_400185"/>
    <s v="21000 - Peabody College: Office of the Dean"/>
    <x v="0"/>
    <x v="8"/>
    <x v="14"/>
    <s v="Complete"/>
    <x v="0"/>
    <s v="Ben Bedock"/>
    <n v="1232681"/>
    <n v="1232681"/>
  </r>
  <r>
    <x v="1"/>
    <n v="20574"/>
    <n v="8145"/>
    <s v="CP_400164"/>
    <s v="18200 - Basic Sciences: Office of the Dean"/>
    <x v="1"/>
    <x v="1"/>
    <x v="15"/>
    <s v="Complete"/>
    <x v="0"/>
    <s v="Sean Rewers"/>
    <n v="218202"/>
    <n v="218202"/>
  </r>
  <r>
    <x v="1"/>
    <n v="20577"/>
    <n v="8146"/>
    <s v="CP_400154"/>
    <s v="13000 - Blair: Office of the Dean"/>
    <x v="4"/>
    <x v="4"/>
    <x v="16"/>
    <s v="Active"/>
    <x v="2"/>
    <s v="Jay Surprenant"/>
    <n v="1300000"/>
    <n v="1300000"/>
  </r>
  <r>
    <x v="1"/>
    <n v="20644"/>
    <n v="8241"/>
    <s v="CP_400171"/>
    <s v="21000 - Peabody College: Office of the Dean"/>
    <x v="0"/>
    <x v="11"/>
    <x v="17"/>
    <s v="Complete"/>
    <x v="0"/>
    <s v="Ben Bedock"/>
    <n v="630554"/>
    <n v="630554"/>
  </r>
  <r>
    <x v="0"/>
    <n v="20645"/>
    <n v="8239"/>
    <m/>
    <s v="12000 - Arts and Science: Office of the Dean"/>
    <x v="6"/>
    <x v="12"/>
    <x v="18"/>
    <s v="Complete"/>
    <x v="0"/>
    <s v="Ben Bedock"/>
    <n v="125875"/>
    <n v="125875"/>
  </r>
  <r>
    <x v="1"/>
    <n v="20667"/>
    <n v="8168"/>
    <s v="CP_400160"/>
    <s v="15000 - Engineering: Office of the Dean"/>
    <x v="7"/>
    <x v="13"/>
    <x v="19"/>
    <s v="Active"/>
    <x v="2"/>
    <s v="Kylie Mignoli"/>
    <n v="1550000"/>
    <n v="1545360"/>
  </r>
  <r>
    <x v="1"/>
    <n v="20668"/>
    <n v="8151"/>
    <s v="CP_400163"/>
    <s v="15000 - Engineering: Office of the Dean"/>
    <x v="7"/>
    <x v="9"/>
    <x v="20"/>
    <s v="Active"/>
    <x v="3"/>
    <s v="Sean Rewers"/>
    <n v="3960000"/>
    <n v="231433"/>
  </r>
  <r>
    <x v="1"/>
    <n v="20698"/>
    <n v="1138"/>
    <s v="CP_400168"/>
    <s v="12000 - Arts and Science: Office of the Dean"/>
    <x v="6"/>
    <x v="14"/>
    <x v="21"/>
    <s v="Complete"/>
    <x v="0"/>
    <s v="Sean Rewers"/>
    <n v="680000"/>
    <n v="678513"/>
  </r>
  <r>
    <x v="0"/>
    <n v="20700"/>
    <n v="851"/>
    <m/>
    <s v="12000 - Arts and Science: Office of the Dean"/>
    <x v="6"/>
    <x v="10"/>
    <x v="22"/>
    <s v="Complete"/>
    <x v="0"/>
    <s v="Sean Rewers"/>
    <n v="80000"/>
    <n v="85577"/>
  </r>
  <r>
    <x v="1"/>
    <n v="20701"/>
    <n v="4399"/>
    <s v="CP_400198"/>
    <s v="12000 - Arts and Science: Office of the Dean"/>
    <x v="6"/>
    <x v="15"/>
    <x v="23"/>
    <s v="Complete"/>
    <x v="0"/>
    <s v="Sean Rewers"/>
    <n v="500000"/>
    <n v="499093"/>
  </r>
  <r>
    <x v="1"/>
    <n v="20702"/>
    <n v="8432"/>
    <s v="CP_400165"/>
    <s v="21000 - Peabody College: Office of the Dean"/>
    <x v="0"/>
    <x v="8"/>
    <x v="24"/>
    <s v="Complete"/>
    <x v="0"/>
    <s v="Ben Bedock"/>
    <n v="225791"/>
    <n v="239341"/>
  </r>
  <r>
    <x v="1"/>
    <n v="20718"/>
    <n v="8608"/>
    <s v="CP_400174"/>
    <s v="12000 - Arts and Science: Office of the Dean"/>
    <x v="6"/>
    <x v="16"/>
    <x v="25"/>
    <s v="Complete"/>
    <x v="0"/>
    <s v="Erin Fry"/>
    <n v="715000"/>
    <n v="715000"/>
  </r>
  <r>
    <x v="1"/>
    <n v="20723"/>
    <n v="1628"/>
    <s v="CP_400187"/>
    <s v="18200 - Basic Sciences: Office of the Dean"/>
    <x v="1"/>
    <x v="1"/>
    <x v="26"/>
    <s v="Active"/>
    <x v="2"/>
    <s v="Jay Surprenant"/>
    <n v="1610000"/>
    <n v="1700000"/>
  </r>
  <r>
    <x v="1"/>
    <n v="20724"/>
    <n v="8557"/>
    <s v="CP_400178"/>
    <s v="13000 - Blair: Office of the Dean"/>
    <x v="4"/>
    <x v="4"/>
    <x v="27"/>
    <s v="Active"/>
    <x v="5"/>
    <s v="Hans Mooy"/>
    <n v="1987500"/>
    <n v="1987500"/>
  </r>
  <r>
    <x v="0"/>
    <n v="20735"/>
    <n v="8226"/>
    <m/>
    <s v="20000 - Owen: Office of the Dean"/>
    <x v="8"/>
    <x v="17"/>
    <x v="28"/>
    <s v="Complete"/>
    <x v="0"/>
    <s v="Ben Bedock"/>
    <n v="300000"/>
    <n v="300000"/>
  </r>
  <r>
    <x v="1"/>
    <n v="20767"/>
    <n v="8673"/>
    <s v="CP_400242"/>
    <s v="21000 - Peabody College: Office of the Dean"/>
    <x v="0"/>
    <x v="18"/>
    <x v="29"/>
    <s v="Active"/>
    <x v="1"/>
    <s v="Jay Surprenant"/>
    <n v="149000"/>
    <n v="148299"/>
  </r>
  <r>
    <x v="0"/>
    <n v="20771"/>
    <n v="8674"/>
    <m/>
    <s v="12000 - Arts and Science: Office of the Dean"/>
    <x v="6"/>
    <x v="10"/>
    <x v="30"/>
    <s v="Complete"/>
    <x v="0"/>
    <s v="Sean Rewers"/>
    <n v="25000"/>
    <n v="24997"/>
  </r>
  <r>
    <x v="1"/>
    <n v="20772"/>
    <n v="8675"/>
    <s v="CP_400235"/>
    <s v="20100 - Owen: Business Affairs"/>
    <x v="8"/>
    <x v="17"/>
    <x v="31"/>
    <s v="Complete"/>
    <x v="0"/>
    <s v="Ben Bedock"/>
    <n v="3200000"/>
    <n v="3200000"/>
  </r>
  <r>
    <x v="1"/>
    <n v="20792"/>
    <n v="1035"/>
    <s v="CP_400206"/>
    <s v="17100 - Law: Business Affairs"/>
    <x v="3"/>
    <x v="3"/>
    <x v="32"/>
    <s v="Complete"/>
    <x v="0"/>
    <s v="Ben Bedock"/>
    <n v="400000"/>
    <n v="483440"/>
  </r>
  <r>
    <x v="1"/>
    <n v="20811"/>
    <n v="8729"/>
    <s v="CP_400224"/>
    <s v="21000 - Peabody College: Office of the Dean"/>
    <x v="0"/>
    <x v="0"/>
    <x v="33"/>
    <s v="Complete"/>
    <x v="0"/>
    <s v="Ben Bedock"/>
    <n v="75000"/>
    <n v="285233.27"/>
  </r>
  <r>
    <x v="1"/>
    <n v="20812"/>
    <n v="8923"/>
    <s v="CP_400282"/>
    <s v="15000 - Engineering: Office of the Dean"/>
    <x v="7"/>
    <x v="19"/>
    <x v="34"/>
    <s v="Active"/>
    <x v="2"/>
    <s v="Sean Rewers"/>
    <n v="485000"/>
    <n v="486135"/>
  </r>
  <r>
    <x v="0"/>
    <n v="20831"/>
    <n v="8230"/>
    <m/>
    <s v="12000 - Arts and Science: Office of the Dean"/>
    <x v="6"/>
    <x v="20"/>
    <x v="35"/>
    <s v="Complete"/>
    <x v="0"/>
    <s v="Sean Rewers"/>
    <n v="24000"/>
    <n v="24000"/>
  </r>
  <r>
    <x v="0"/>
    <n v="20832"/>
    <n v="8220"/>
    <m/>
    <s v="12000 - Arts and Science: Office of the Dean"/>
    <x v="6"/>
    <x v="14"/>
    <x v="36"/>
    <s v="Complete"/>
    <x v="0"/>
    <s v="Sean Rewers"/>
    <n v="24000"/>
    <n v="24000"/>
  </r>
  <r>
    <x v="0"/>
    <n v="20833"/>
    <n v="8215"/>
    <m/>
    <s v="12000 - Arts and Science: Office of the Dean"/>
    <x v="6"/>
    <x v="15"/>
    <x v="37"/>
    <s v="Complete"/>
    <x v="0"/>
    <s v="Sean Rewers"/>
    <n v="24000"/>
    <n v="24000"/>
  </r>
  <r>
    <x v="1"/>
    <n v="20857"/>
    <n v="8427"/>
    <s v="CP_400227"/>
    <s v="21000 - Peabody College: Office of the Dean"/>
    <x v="0"/>
    <x v="0"/>
    <x v="38"/>
    <s v="Active"/>
    <x v="6"/>
    <s v="Ben Bedock"/>
    <n v="499184"/>
    <n v="499184"/>
  </r>
  <r>
    <x v="1"/>
    <n v="20884"/>
    <n v="8807"/>
    <s v="CP_400251"/>
    <s v="17000 - Law: Office of the Dean"/>
    <x v="3"/>
    <x v="3"/>
    <x v="39"/>
    <s v="Complete"/>
    <x v="0"/>
    <s v="Ben Bedock"/>
    <n v="675650"/>
    <n v="675650"/>
  </r>
  <r>
    <x v="0"/>
    <n v="20885"/>
    <n v="8676"/>
    <m/>
    <s v="12000 - Arts and Science: Office of the Dean"/>
    <x v="6"/>
    <x v="21"/>
    <x v="40"/>
    <s v="Active"/>
    <x v="5"/>
    <s v="Sean Rewers"/>
    <n v="130000"/>
    <n v="143053.4"/>
  </r>
  <r>
    <x v="0"/>
    <n v="20911"/>
    <n v="8819"/>
    <m/>
    <s v="12000 - Arts and Science: Office of the Dean"/>
    <x v="6"/>
    <x v="16"/>
    <x v="41"/>
    <s v="Complete"/>
    <x v="0"/>
    <s v="Ben Bedock"/>
    <n v="61045"/>
    <n v="61045"/>
  </r>
  <r>
    <x v="0"/>
    <n v="20912"/>
    <n v="8822"/>
    <m/>
    <s v="12000 - Arts and Science: Office of the Dean"/>
    <x v="6"/>
    <x v="12"/>
    <x v="42"/>
    <s v="Active"/>
    <x v="5"/>
    <s v="Ben Bedock"/>
    <n v="59798"/>
    <n v="59798"/>
  </r>
  <r>
    <x v="0"/>
    <n v="20913"/>
    <n v="8818"/>
    <m/>
    <s v="12000 - Arts and Science: Office of the Dean"/>
    <x v="6"/>
    <x v="14"/>
    <x v="43"/>
    <s v="Active"/>
    <x v="5"/>
    <s v="Ben Bedock"/>
    <n v="96612"/>
    <n v="96612"/>
  </r>
  <r>
    <x v="1"/>
    <n v="20922"/>
    <n v="8720"/>
    <s v="CP_400263"/>
    <s v="12000 - Arts and Science: Office of the Dean"/>
    <x v="6"/>
    <x v="22"/>
    <x v="44"/>
    <s v="Active"/>
    <x v="1"/>
    <s v="Jay Surprenant"/>
    <n v="170000"/>
    <n v="197150"/>
  </r>
  <r>
    <x v="0"/>
    <n v="20924"/>
    <n v="8737"/>
    <m/>
    <s v="19000 - Nursing: Office of the Dean"/>
    <x v="2"/>
    <x v="23"/>
    <x v="45"/>
    <s v="Complete"/>
    <x v="0"/>
    <s v="Ben Bedock"/>
    <n v="30570"/>
    <n v="30570"/>
  </r>
  <r>
    <x v="1"/>
    <n v="20925"/>
    <n v="8260"/>
    <s v="CP_400326"/>
    <s v="13000 - Blair: Office of the Dean"/>
    <x v="4"/>
    <x v="4"/>
    <x v="46"/>
    <s v="Active"/>
    <x v="2"/>
    <s v="Jay Surprenant"/>
    <n v="2125000"/>
    <n v="2125000"/>
  </r>
  <r>
    <x v="0"/>
    <n v="20936"/>
    <n v="8814"/>
    <m/>
    <s v="12000 - Arts and Science: Office of the Dean"/>
    <x v="6"/>
    <x v="14"/>
    <x v="47"/>
    <s v="Active"/>
    <x v="1"/>
    <s v="Jay Surprenant"/>
    <n v="405000"/>
    <n v="404655.91"/>
  </r>
  <r>
    <x v="1"/>
    <n v="20940"/>
    <n v="8412"/>
    <s v="CP_400291"/>
    <s v="15000 - Engineering: Office of the Dean"/>
    <x v="7"/>
    <x v="13"/>
    <x v="48"/>
    <s v="Active"/>
    <x v="5"/>
    <s v="Sean Rewers"/>
    <n v="310000"/>
    <n v="309548.64"/>
  </r>
  <r>
    <x v="0"/>
    <n v="20945"/>
    <n v="8905"/>
    <m/>
    <s v="10000 - Chancellor"/>
    <x v="9"/>
    <x v="24"/>
    <x v="49"/>
    <s v="Complete"/>
    <x v="0"/>
    <s v="Sean Rewers"/>
    <n v="99000"/>
    <n v="99000"/>
  </r>
  <r>
    <x v="1"/>
    <n v="20958"/>
    <n v="1642"/>
    <s v="CP_400256"/>
    <s v="12000 - Arts and Science: Office of the Dean"/>
    <x v="6"/>
    <x v="25"/>
    <x v="50"/>
    <s v="Active"/>
    <x v="6"/>
    <s v="Ben Bedock"/>
    <n v="290000"/>
    <n v="261629"/>
  </r>
  <r>
    <x v="1"/>
    <n v="20962"/>
    <n v="8754"/>
    <m/>
    <s v="12000 - Arts and Science: Office of the Dean"/>
    <x v="6"/>
    <x v="22"/>
    <x v="51"/>
    <s v="Active"/>
    <x v="3"/>
    <s v="Ben Bedock"/>
    <n v="1750000"/>
    <n v="1800"/>
  </r>
  <r>
    <x v="1"/>
    <n v="20979"/>
    <n v="9"/>
    <s v="CP_400330"/>
    <s v="15000 - Engineering: Office of the Dean"/>
    <x v="7"/>
    <x v="13"/>
    <x v="52"/>
    <s v="Active"/>
    <x v="2"/>
    <s v="Ben Bedock"/>
    <n v="270000"/>
    <n v="581188"/>
  </r>
  <r>
    <x v="1"/>
    <n v="20982"/>
    <n v="8442"/>
    <s v="CP_400270"/>
    <s v="17100 - Law: Business Affairs"/>
    <x v="3"/>
    <x v="3"/>
    <x v="53"/>
    <s v="Active"/>
    <x v="6"/>
    <s v="Ben Bedock"/>
    <n v="272000"/>
    <n v="272000"/>
  </r>
  <r>
    <x v="0"/>
    <n v="20984"/>
    <n v="8712"/>
    <m/>
    <s v="12000 - Arts and Science: Office of the Dean"/>
    <x v="6"/>
    <x v="14"/>
    <x v="54"/>
    <s v="Active"/>
    <x v="5"/>
    <s v="Hans Mooy"/>
    <n v="167000"/>
    <n v="167000"/>
  </r>
  <r>
    <x v="1"/>
    <n v="21004"/>
    <n v="1010"/>
    <s v="CP_400332"/>
    <s v="12100 - Arts and Science: Business Affairs"/>
    <x v="6"/>
    <x v="15"/>
    <x v="55"/>
    <s v="Active"/>
    <x v="2"/>
    <s v="Jay Surprenant"/>
    <n v="940000"/>
    <n v="992453"/>
  </r>
  <r>
    <x v="1"/>
    <n v="21005"/>
    <m/>
    <m/>
    <s v="12000 - Arts and Science: Office of the Dean"/>
    <x v="6"/>
    <x v="15"/>
    <x v="56"/>
    <s v="Deferred / On Hold"/>
    <x v="7"/>
    <s v="Jay Surprenant"/>
    <n v="0"/>
    <n v="0"/>
  </r>
  <r>
    <x v="1"/>
    <n v="21006"/>
    <m/>
    <m/>
    <s v="15000 - Engineering: Office of the Dean"/>
    <x v="7"/>
    <x v="15"/>
    <x v="57"/>
    <s v="Deferred / On Hold"/>
    <x v="7"/>
    <s v="Jay Surprenant"/>
    <n v="0"/>
    <n v="0"/>
  </r>
  <r>
    <x v="1"/>
    <n v="21007"/>
    <m/>
    <m/>
    <s v="15000 - Engineering: Office of the Dean"/>
    <x v="7"/>
    <x v="15"/>
    <x v="58"/>
    <s v="Deferred / On Hold"/>
    <x v="7"/>
    <s v="Jay Surprenant"/>
    <n v="0"/>
    <n v="0"/>
  </r>
  <r>
    <x v="1"/>
    <n v="21010"/>
    <m/>
    <s v="CP_400312"/>
    <s v="15000 - Engineering: Office of the Dean"/>
    <x v="7"/>
    <x v="26"/>
    <x v="59"/>
    <s v="Active"/>
    <x v="5"/>
    <s v="Sean Rewers"/>
    <n v="125000"/>
    <n v="126024"/>
  </r>
  <r>
    <x v="0"/>
    <n v="21035"/>
    <m/>
    <m/>
    <s v="17100 - Law: Business Affairs"/>
    <x v="3"/>
    <x v="3"/>
    <x v="60"/>
    <s v="Active"/>
    <x v="5"/>
    <s v="Ben Bedock"/>
    <n v="50000"/>
    <n v="36108.160000000003"/>
  </r>
  <r>
    <x v="1"/>
    <n v="21051"/>
    <n v="8784"/>
    <s v="CP_400344"/>
    <s v="18200 - Basic Sciences: Office of the Dean"/>
    <x v="1"/>
    <x v="1"/>
    <x v="61"/>
    <s v="Active"/>
    <x v="7"/>
    <s v="Ben Bedock"/>
    <n v="0"/>
    <n v="27500"/>
  </r>
  <r>
    <x v="1"/>
    <n v="21066"/>
    <m/>
    <s v="CP_400314"/>
    <s v="12000 - Arts and Science: Office of the Dean"/>
    <x v="6"/>
    <x v="27"/>
    <x v="62"/>
    <s v="Active"/>
    <x v="7"/>
    <s v="Sean Rewers"/>
    <n v="29160"/>
    <n v="29160"/>
  </r>
  <r>
    <x v="1"/>
    <n v="21067"/>
    <m/>
    <s v="CP_400311"/>
    <s v="19000 - Nursing: Office of the Dean"/>
    <x v="2"/>
    <x v="2"/>
    <x v="63"/>
    <s v="Active"/>
    <x v="8"/>
    <s v="Sean Rewers"/>
    <n v="2500000"/>
    <n v="46600"/>
  </r>
  <r>
    <x v="0"/>
    <n v="21068"/>
    <m/>
    <m/>
    <s v="12000 - Arts and Science: Office of the Dean"/>
    <x v="6"/>
    <x v="16"/>
    <x v="64"/>
    <s v="Active"/>
    <x v="6"/>
    <s v="Jay Surprenant"/>
    <n v="0"/>
    <n v="34837.4"/>
  </r>
  <r>
    <x v="0"/>
    <n v="21070"/>
    <n v="8733"/>
    <m/>
    <s v="15000 - Engineering: Office of the Dean"/>
    <x v="7"/>
    <x v="28"/>
    <x v="65"/>
    <s v="Active"/>
    <x v="5"/>
    <s v="Ben Bedock"/>
    <n v="848722"/>
    <n v="392042.1"/>
  </r>
  <r>
    <x v="1"/>
    <n v="21071"/>
    <m/>
    <s v="CP_400313"/>
    <s v="12000 - Arts and Science: Office of the Dean"/>
    <x v="6"/>
    <x v="29"/>
    <x v="66"/>
    <s v="Active"/>
    <x v="7"/>
    <s v="Sean Rewers"/>
    <n v="19440"/>
    <n v="19440"/>
  </r>
  <r>
    <x v="0"/>
    <n v="21072"/>
    <m/>
    <m/>
    <s v="12000 - Arts and Science: Office of the Dean"/>
    <x v="6"/>
    <x v="30"/>
    <x v="67"/>
    <s v="Deferred / On Hold"/>
    <x v="9"/>
    <s v="Sean Rewers"/>
    <n v="10000"/>
    <n v="0"/>
  </r>
  <r>
    <x v="0"/>
    <n v="21073"/>
    <m/>
    <m/>
    <s v="12000 - Arts and Science: Office of the Dean"/>
    <x v="6"/>
    <x v="25"/>
    <x v="68"/>
    <s v="Deferred / On Hold"/>
    <x v="9"/>
    <s v="Sean Rewers"/>
    <n v="10000"/>
    <n v="0"/>
  </r>
  <r>
    <x v="0"/>
    <n v="21074"/>
    <m/>
    <m/>
    <s v="17000 - Law: Office of the Dean"/>
    <x v="3"/>
    <x v="3"/>
    <x v="69"/>
    <s v="Deferred / On Hold"/>
    <x v="9"/>
    <s v="Sean Rewers"/>
    <n v="10000"/>
    <n v="0"/>
  </r>
  <r>
    <x v="0"/>
    <n v="21094"/>
    <m/>
    <m/>
    <s v="17000 - Law: Office of the Dean"/>
    <x v="3"/>
    <x v="2"/>
    <x v="70"/>
    <s v="Active"/>
    <x v="5"/>
    <s v="Sean Rewers"/>
    <n v="87500"/>
    <n v="87500"/>
  </r>
  <r>
    <x v="0"/>
    <n v="21108"/>
    <m/>
    <m/>
    <s v="19100 - Nursing: Business Affairs"/>
    <x v="2"/>
    <x v="13"/>
    <x v="71"/>
    <s v="Complete"/>
    <x v="0"/>
    <s v="Sean Rewers"/>
    <n v="5000"/>
    <n v="5000"/>
  </r>
  <r>
    <x v="0"/>
    <n v="21113"/>
    <m/>
    <m/>
    <s v="15000 - Engineering: Office of the Dean"/>
    <x v="7"/>
    <x v="1"/>
    <x v="72"/>
    <s v="Active"/>
    <x v="2"/>
    <s v="Jay Surprenant"/>
    <n v="85000"/>
    <n v="82125"/>
  </r>
  <r>
    <x v="0"/>
    <n v="21114"/>
    <m/>
    <m/>
    <s v="18200 - Basic Sciences: Office of the Dean"/>
    <x v="1"/>
    <x v="1"/>
    <x v="73"/>
    <s v="Active"/>
    <x v="2"/>
    <s v="Jay Surprenant"/>
    <n v="70000"/>
    <n v="68452"/>
  </r>
  <r>
    <x v="1"/>
    <n v="21127"/>
    <m/>
    <s v="CP_400334"/>
    <s v="18200 - Basic Sciences: Office of the Dean"/>
    <x v="1"/>
    <x v="1"/>
    <x v="74"/>
    <s v="Active"/>
    <x v="2"/>
    <s v="Jay Surprenant"/>
    <n v="450000"/>
    <n v="449020"/>
  </r>
  <r>
    <x v="0"/>
    <n v="21155"/>
    <n v="904"/>
    <m/>
    <s v="12000 - Arts and Science: Office of the Dean"/>
    <x v="6"/>
    <x v="27"/>
    <x v="75"/>
    <s v="Active"/>
    <x v="7"/>
    <s v="Daniel Capparella"/>
    <n v="750000"/>
    <n v="0"/>
  </r>
  <r>
    <x v="1"/>
    <n v="21156"/>
    <m/>
    <s v="CP_400337"/>
    <s v="15000 - Engineering: Office of the Dean"/>
    <x v="7"/>
    <x v="28"/>
    <x v="76"/>
    <s v="Active"/>
    <x v="2"/>
    <s v="Nickolaus Corniea"/>
    <n v="500000"/>
    <n v="386000"/>
  </r>
  <r>
    <x v="0"/>
    <n v="21157"/>
    <m/>
    <m/>
    <s v="12000 - Arts and Science: Office of the Dean"/>
    <x v="6"/>
    <x v="31"/>
    <x v="77"/>
    <s v="Active"/>
    <x v="3"/>
    <s v="Jay Surprenant"/>
    <n v="250000"/>
    <n v="19000"/>
  </r>
  <r>
    <x v="2"/>
    <n v="21165"/>
    <m/>
    <m/>
    <s v="21000 - Peabody College: Office of the Dean"/>
    <x v="0"/>
    <x v="8"/>
    <x v="78"/>
    <s v="Active"/>
    <x v="7"/>
    <s v="Ben Bedock"/>
    <n v="0"/>
    <n v="0"/>
  </r>
  <r>
    <x v="1"/>
    <n v="21173"/>
    <m/>
    <s v="CP_400343"/>
    <s v="22000 - College of Connected Computing: Office of the Dean"/>
    <x v="10"/>
    <x v="32"/>
    <x v="79"/>
    <s v="Active"/>
    <x v="7"/>
    <s v="Ben Bedock"/>
    <n v="575000"/>
    <n v="25550"/>
  </r>
  <r>
    <x v="0"/>
    <n v="21174"/>
    <m/>
    <m/>
    <s v="12100 - Arts and Science: Business Affairs"/>
    <x v="6"/>
    <x v="16"/>
    <x v="80"/>
    <s v="Active"/>
    <x v="4"/>
    <s v="Erin Fry"/>
    <n v="0"/>
    <n v="0"/>
  </r>
  <r>
    <x v="1"/>
    <n v="21175"/>
    <m/>
    <m/>
    <s v="12100 - Arts and Science: Business Affairs"/>
    <x v="6"/>
    <x v="3"/>
    <x v="81"/>
    <s v="Active"/>
    <x v="7"/>
    <s v="Ben Bedock"/>
    <n v="0"/>
    <n v="0"/>
  </r>
  <r>
    <x v="0"/>
    <n v="21176"/>
    <m/>
    <m/>
    <s v="17100 - Law: Business Affairs"/>
    <x v="3"/>
    <x v="3"/>
    <x v="82"/>
    <s v="Active"/>
    <x v="3"/>
    <s v="James Moore"/>
    <n v="160000"/>
    <n v="0"/>
  </r>
  <r>
    <x v="1"/>
    <n v="21177"/>
    <m/>
    <m/>
    <s v="12000 - Arts and Science: Office of the Dean"/>
    <x v="6"/>
    <x v="27"/>
    <x v="83"/>
    <s v="Active"/>
    <x v="4"/>
    <s v="Daniel Capparella"/>
    <n v="2215000"/>
    <n v="0"/>
  </r>
  <r>
    <x v="0"/>
    <n v="21178"/>
    <m/>
    <m/>
    <s v="17100 - Law: Business Affairs"/>
    <x v="3"/>
    <x v="3"/>
    <x v="84"/>
    <s v="Active"/>
    <x v="2"/>
    <s v="Kylie Mignoli"/>
    <n v="30000"/>
    <n v="75000"/>
  </r>
  <r>
    <x v="1"/>
    <n v="21189"/>
    <m/>
    <m/>
    <s v="13000 - Blair: Office of the Dean"/>
    <x v="4"/>
    <x v="4"/>
    <x v="85"/>
    <s v="Active"/>
    <x v="7"/>
    <s v="Ben Bedock"/>
    <n v="800000"/>
    <n v="0"/>
  </r>
  <r>
    <x v="1"/>
    <n v="21198"/>
    <m/>
    <m/>
    <s v="12000 - Arts and Science: Office of the Dean"/>
    <x v="6"/>
    <x v="10"/>
    <x v="86"/>
    <s v="Active"/>
    <x v="7"/>
    <s v="Sean Rewers"/>
    <n v="130000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CFC948A-2C63-49A0-B734-B3E66B47F3CF}" name="PivotTable1" cacheId="7"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3:C20" firstHeaderRow="0" firstDataRow="1" firstDataCol="1"/>
  <pivotFields count="13">
    <pivotField showAll="0">
      <items count="4">
        <item x="1"/>
        <item x="0"/>
        <item x="2"/>
        <item t="default"/>
      </items>
    </pivotField>
    <pivotField showAll="0"/>
    <pivotField showAll="0"/>
    <pivotField showAll="0"/>
    <pivotField showAll="0"/>
    <pivotField showAll="0">
      <items count="12">
        <item h="1" x="6"/>
        <item h="1" x="4"/>
        <item h="1" x="10"/>
        <item h="1" x="5"/>
        <item h="1" x="7"/>
        <item h="1" x="3"/>
        <item h="1" x="9"/>
        <item h="1" x="8"/>
        <item x="0"/>
        <item h="1" x="1"/>
        <item h="1" x="2"/>
        <item t="default"/>
      </items>
    </pivotField>
    <pivotField axis="axisRow" showAll="0">
      <items count="34">
        <item x="19"/>
        <item x="13"/>
        <item x="32"/>
        <item x="12"/>
        <item x="21"/>
        <item x="4"/>
        <item x="6"/>
        <item x="16"/>
        <item x="30"/>
        <item x="31"/>
        <item x="5"/>
        <item x="26"/>
        <item x="23"/>
        <item x="25"/>
        <item x="2"/>
        <item x="7"/>
        <item x="9"/>
        <item x="3"/>
        <item x="1"/>
        <item x="28"/>
        <item x="0"/>
        <item x="17"/>
        <item x="11"/>
        <item x="10"/>
        <item x="29"/>
        <item x="27"/>
        <item x="20"/>
        <item x="15"/>
        <item x="24"/>
        <item x="18"/>
        <item x="22"/>
        <item x="14"/>
        <item x="8"/>
        <item t="default"/>
      </items>
    </pivotField>
    <pivotField axis="axisRow" showAll="0">
      <items count="88">
        <item x="19"/>
        <item x="18"/>
        <item x="4"/>
        <item x="6"/>
        <item x="25"/>
        <item x="2"/>
        <item x="8"/>
        <item x="20"/>
        <item x="12"/>
        <item x="3"/>
        <item x="32"/>
        <item x="1"/>
        <item x="26"/>
        <item x="15"/>
        <item x="0"/>
        <item x="28"/>
        <item x="17"/>
        <item x="13"/>
        <item x="30"/>
        <item x="35"/>
        <item x="29"/>
        <item x="21"/>
        <item x="36"/>
        <item x="24"/>
        <item x="14"/>
        <item x="11"/>
        <item x="9"/>
        <item x="5"/>
        <item x="22"/>
        <item x="23"/>
        <item x="38"/>
        <item x="31"/>
        <item x="39"/>
        <item x="40"/>
        <item x="41"/>
        <item x="42"/>
        <item x="43"/>
        <item x="44"/>
        <item x="45"/>
        <item x="46"/>
        <item x="47"/>
        <item x="48"/>
        <item x="7"/>
        <item x="27"/>
        <item x="33"/>
        <item x="49"/>
        <item x="50"/>
        <item x="51"/>
        <item x="52"/>
        <item x="53"/>
        <item x="16"/>
        <item x="34"/>
        <item x="37"/>
        <item x="54"/>
        <item x="55"/>
        <item x="56"/>
        <item x="57"/>
        <item x="58"/>
        <item x="59"/>
        <item x="62"/>
        <item x="64"/>
        <item x="65"/>
        <item x="66"/>
        <item x="70"/>
        <item x="71"/>
        <item x="72"/>
        <item x="73"/>
        <item x="74"/>
        <item x="60"/>
        <item x="10"/>
        <item x="67"/>
        <item x="68"/>
        <item x="69"/>
        <item x="76"/>
        <item x="63"/>
        <item x="75"/>
        <item x="77"/>
        <item x="78"/>
        <item x="79"/>
        <item x="80"/>
        <item x="81"/>
        <item x="82"/>
        <item x="83"/>
        <item x="61"/>
        <item x="84"/>
        <item x="85"/>
        <item x="86"/>
        <item t="default"/>
      </items>
    </pivotField>
    <pivotField showAll="0"/>
    <pivotField showAll="0">
      <items count="11">
        <item x="9"/>
        <item x="8"/>
        <item x="2"/>
        <item x="6"/>
        <item x="3"/>
        <item x="0"/>
        <item x="5"/>
        <item x="4"/>
        <item x="7"/>
        <item x="1"/>
        <item t="default"/>
      </items>
    </pivotField>
    <pivotField showAll="0"/>
    <pivotField dataField="1" numFmtId="165" showAll="0"/>
    <pivotField dataField="1" numFmtId="165" showAll="0"/>
  </pivotFields>
  <rowFields count="2">
    <field x="6"/>
    <field x="7"/>
  </rowFields>
  <rowItems count="17">
    <i>
      <x v="15"/>
    </i>
    <i r="1">
      <x v="6"/>
    </i>
    <i>
      <x v="20"/>
    </i>
    <i r="1">
      <x v="14"/>
    </i>
    <i r="1">
      <x v="30"/>
    </i>
    <i r="1">
      <x v="44"/>
    </i>
    <i>
      <x v="22"/>
    </i>
    <i r="1">
      <x v="16"/>
    </i>
    <i>
      <x v="29"/>
    </i>
    <i r="1">
      <x v="20"/>
    </i>
    <i>
      <x v="32"/>
    </i>
    <i r="1">
      <x v="23"/>
    </i>
    <i r="1">
      <x v="24"/>
    </i>
    <i r="1">
      <x v="25"/>
    </i>
    <i r="1">
      <x v="26"/>
    </i>
    <i r="1">
      <x v="77"/>
    </i>
    <i t="grand">
      <x/>
    </i>
  </rowItems>
  <colFields count="1">
    <field x="-2"/>
  </colFields>
  <colItems count="2">
    <i>
      <x/>
    </i>
    <i i="1">
      <x v="1"/>
    </i>
  </colItems>
  <dataFields count="2">
    <dataField name="Estimated Budget" fld="11" baseField="5" baseItem="1" numFmtId="3"/>
    <dataField name="Approved_Budget" fld="12" baseField="5" baseItem="1" numFmtId="3"/>
  </dataFields>
  <formats count="13">
    <format dxfId="29">
      <pivotArea outline="0" collapsedLevelsAreSubtotals="1" fieldPosition="0"/>
    </format>
    <format dxfId="28">
      <pivotArea dataOnly="0" labelOnly="1" outline="0" fieldPosition="0">
        <references count="1">
          <reference field="4294967294" count="2">
            <x v="0"/>
            <x v="1"/>
          </reference>
        </references>
      </pivotArea>
    </format>
    <format dxfId="27">
      <pivotArea type="all" dataOnly="0" outline="0" fieldPosition="0"/>
    </format>
    <format dxfId="26">
      <pivotArea outline="0" collapsedLevelsAreSubtotals="1" fieldPosition="0"/>
    </format>
    <format dxfId="25">
      <pivotArea field="6" type="button" dataOnly="0" labelOnly="1" outline="0" axis="axisRow" fieldPosition="0"/>
    </format>
    <format dxfId="24">
      <pivotArea dataOnly="0" labelOnly="1" fieldPosition="0">
        <references count="1">
          <reference field="6" count="5">
            <x v="15"/>
            <x v="20"/>
            <x v="22"/>
            <x v="29"/>
            <x v="32"/>
          </reference>
        </references>
      </pivotArea>
    </format>
    <format dxfId="23">
      <pivotArea dataOnly="0" labelOnly="1" grandRow="1" outline="0" fieldPosition="0"/>
    </format>
    <format dxfId="22">
      <pivotArea dataOnly="0" labelOnly="1" fieldPosition="0">
        <references count="2">
          <reference field="6" count="1" selected="0">
            <x v="15"/>
          </reference>
          <reference field="7" count="1">
            <x v="6"/>
          </reference>
        </references>
      </pivotArea>
    </format>
    <format dxfId="21">
      <pivotArea dataOnly="0" labelOnly="1" fieldPosition="0">
        <references count="2">
          <reference field="6" count="1" selected="0">
            <x v="20"/>
          </reference>
          <reference field="7" count="3">
            <x v="14"/>
            <x v="30"/>
            <x v="44"/>
          </reference>
        </references>
      </pivotArea>
    </format>
    <format dxfId="20">
      <pivotArea dataOnly="0" labelOnly="1" fieldPosition="0">
        <references count="2">
          <reference field="6" count="1" selected="0">
            <x v="22"/>
          </reference>
          <reference field="7" count="1">
            <x v="16"/>
          </reference>
        </references>
      </pivotArea>
    </format>
    <format dxfId="19">
      <pivotArea dataOnly="0" labelOnly="1" fieldPosition="0">
        <references count="2">
          <reference field="6" count="1" selected="0">
            <x v="29"/>
          </reference>
          <reference field="7" count="1">
            <x v="20"/>
          </reference>
        </references>
      </pivotArea>
    </format>
    <format dxfId="18">
      <pivotArea dataOnly="0" labelOnly="1" fieldPosition="0">
        <references count="2">
          <reference field="6" count="1" selected="0">
            <x v="32"/>
          </reference>
          <reference field="7" count="5">
            <x v="23"/>
            <x v="24"/>
            <x v="25"/>
            <x v="26"/>
            <x v="77"/>
          </reference>
        </references>
      </pivotArea>
    </format>
    <format dxfId="17">
      <pivotArea dataOnly="0" labelOnly="1" outline="0" fieldPosition="0">
        <references count="1">
          <reference field="4294967294" count="2">
            <x v="0"/>
            <x v="1"/>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pex___opex" xr10:uid="{29E6F412-9D48-48CD-9995-F1E916308892}" sourceName="Capex / opex">
  <pivotTables>
    <pivotTable tabId="9" name="PivotTable1"/>
  </pivotTables>
  <data>
    <tabular pivotCacheId="39627257">
      <items count="3">
        <i x="1" s="1"/>
        <i x="0" s="1"/>
        <i x="2"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uilding" xr10:uid="{B26DBAE2-73B9-4565-8896-5746AFAFEB8A}" sourceName="Building">
  <pivotTables>
    <pivotTable tabId="9" name="PivotTable1"/>
  </pivotTables>
  <data>
    <tabular pivotCacheId="39627257">
      <items count="33">
        <i x="7" s="1"/>
        <i x="0" s="1"/>
        <i x="11" s="1"/>
        <i x="18" s="1"/>
        <i x="8" s="1"/>
        <i x="19" s="1" nd="1"/>
        <i x="13" s="1" nd="1"/>
        <i x="32" s="1" nd="1"/>
        <i x="12" s="1" nd="1"/>
        <i x="21" s="1" nd="1"/>
        <i x="4" s="1" nd="1"/>
        <i x="6" s="1" nd="1"/>
        <i x="16" s="1" nd="1"/>
        <i x="30" s="1" nd="1"/>
        <i x="31" s="1" nd="1"/>
        <i x="5" s="1" nd="1"/>
        <i x="26" s="1" nd="1"/>
        <i x="23" s="1" nd="1"/>
        <i x="25" s="1" nd="1"/>
        <i x="2" s="1" nd="1"/>
        <i x="9" s="1" nd="1"/>
        <i x="3" s="1" nd="1"/>
        <i x="1" s="1" nd="1"/>
        <i x="28" s="1" nd="1"/>
        <i x="17" s="1" nd="1"/>
        <i x="10" s="1" nd="1"/>
        <i x="29" s="1" nd="1"/>
        <i x="27" s="1" nd="1"/>
        <i x="20" s="1" nd="1"/>
        <i x="15" s="1" nd="1"/>
        <i x="24" s="1" nd="1"/>
        <i x="22" s="1" nd="1"/>
        <i x="14"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okup" xr10:uid="{08AE7F90-5B24-441F-AABD-71AA52864F59}" sourceName="Lookup">
  <pivotTables>
    <pivotTable tabId="9" name="PivotTable1"/>
  </pivotTables>
  <data>
    <tabular pivotCacheId="39627257">
      <items count="11">
        <i x="6"/>
        <i x="4"/>
        <i x="10"/>
        <i x="5"/>
        <i x="7"/>
        <i x="3"/>
        <i x="9"/>
        <i x="8"/>
        <i x="0" s="1"/>
        <i x="1"/>
        <i x="2"/>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hase" xr10:uid="{C31A7630-D522-484B-BEFA-BE433320AE37}" sourceName="Phase">
  <pivotTables>
    <pivotTable tabId="9" name="PivotTable1"/>
  </pivotTables>
  <data>
    <tabular pivotCacheId="39627257">
      <items count="10">
        <i x="6" s="1"/>
        <i x="0" s="1"/>
        <i x="7" s="1"/>
        <i x="1" s="1"/>
        <i x="9" s="1" nd="1"/>
        <i x="8" s="1" nd="1"/>
        <i x="2" s="1" nd="1"/>
        <i x="3" s="1" nd="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pex / opex" xr10:uid="{3CFD10E7-A13B-4EB7-AE28-8D224814F2D2}" cache="Slicer_Capex___opex" caption="Capex / opex" rowHeight="245835"/>
  <slicer name="Building" xr10:uid="{A6BD8F1A-9B3C-4ABA-8515-017B1E2FA5D8}" cache="Slicer_Building" caption="Building" style="SlicerStyleLight4" rowHeight="245835"/>
  <slicer name="Lookup" xr10:uid="{D8123575-668F-4FF0-92CF-93CD370247DF}" cache="Slicer_Lookup" caption="Lookup" style="SlicerStyleLight3" rowHeight="245835"/>
  <slicer name="Phase" xr10:uid="{EC62A4FE-AAD3-4BF1-82CF-B4D46BF1A7BD}" cache="Slicer_Phase" caption="Phase" style="SlicerStyleLight2" rowHeight="245835"/>
</slicers>
</file>

<file path=xl/theme/theme1.xml><?xml version="1.0" encoding="utf-8"?>
<a:theme xmlns:a="http://schemas.openxmlformats.org/drawingml/2006/main" name="Office Theme">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10" dT="2023-05-17T18:14:40.74" personId="{25485ED3-42D9-422C-9A77-5F76F434CCD0}" id="{B94B61BE-9E95-456D-83ED-BA5ED89F596A}">
    <text>Includes roof repairs in scope.</text>
  </threadedComment>
  <threadedComment ref="M10" dT="2023-02-09T15:08:20.39" personId="{25485ED3-42D9-422C-9A77-5F76F434CCD0}" id="{DBD976BE-1EA5-4F82-B578-BB477409D36E}">
    <text>Includes both A&amp;S swing space and FRP scope.</text>
  </threadedComment>
  <threadedComment ref="V11" dT="2023-10-18T18:20:46.13" personId="{25485ED3-42D9-422C-9A77-5F76F434CCD0}" id="{0D7C2364-F483-4882-9B78-2FE3EA78EB9B}">
    <text>Project will be joint funded, FPR / Divinity + Dean of Students.</text>
  </threadedComment>
  <threadedComment ref="V11" dT="2025-06-02T22:25:19.59" personId="{0C47CDF9-4FCC-43BD-B877-58DDF07E9905}" id="{1438AF98-010B-48B9-BB48-916F112D7638}" parentId="{0D7C2364-F483-4882-9B78-2FE3EA78EB9B}">
    <text>The split should be 75% Divinity (FRP) and 25% Student Affairs.</text>
  </threadedComment>
  <threadedComment ref="M29" dT="2023-02-09T15:08:20.39" personId="{25485ED3-42D9-422C-9A77-5F76F434CCD0}" id="{CD0EAA3A-8612-41AC-AEA9-2402CC95F0F9}">
    <text xml:space="preserve">Includes both A&amp;S third floor renovation FRP (VAV boxes) scope. </text>
  </threadedComment>
  <threadedComment ref="I39" dT="2023-08-23T18:07:53.49" personId="{25485ED3-42D9-422C-9A77-5F76F434CCD0}" id="{E105EA63-7C78-41C4-8D8F-2A5203F081DB}">
    <text>Feasibility study to occur FY24 as opex cost. Unsure timing of eventual construction.</text>
  </threadedComment>
  <threadedComment ref="I40" dT="2023-08-23T18:07:53.49" personId="{25485ED3-42D9-422C-9A77-5F76F434CCD0}" id="{E5436728-87D0-492B-83F9-14F3FA74D779}">
    <text>Feasibility study to occur FY24 as opex cost. Unsure timing of eventual construction.</text>
  </threadedComment>
  <threadedComment ref="I41" dT="2023-08-23T18:07:59.09" personId="{25485ED3-42D9-422C-9A77-5F76F434CCD0}" id="{2718DB0D-6394-4B31-BD4D-B1D4C2924D70}">
    <text>Feasibility study to occur FY24 as opex cost. Unsure timing of eventual construction.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E44" dT="2023-11-15T19:09:35.82" personId="{25485ED3-42D9-422C-9A77-5F76F434CCD0}" id="{85245034-B175-4331-A4C4-D9D0079EF84F}">
    <text>Preliminary cost estimates presented in three options. $4M - $5M range.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ivotTable" Target="../pivotTables/pivotTable1.xml"/><Relationship Id="rId4" Type="http://schemas.microsoft.com/office/2007/relationships/slicer" Target="../slicers/slicer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B9932-010C-4D3C-8086-FBA276DBF10D}">
  <dimension ref="B2:I27"/>
  <sheetViews>
    <sheetView showGridLines="0" zoomScaleNormal="100" workbookViewId="0">
      <selection activeCell="B27" sqref="B27"/>
    </sheetView>
  </sheetViews>
  <sheetFormatPr defaultColWidth="9.3046875" defaultRowHeight="14.6" x14ac:dyDescent="0.4"/>
  <cols>
    <col min="1" max="1" width="4.84375" style="39" customWidth="1"/>
    <col min="2" max="16384" width="9.3046875" style="39"/>
  </cols>
  <sheetData>
    <row r="2" spans="2:9" ht="20.6" x14ac:dyDescent="0.55000000000000004">
      <c r="B2" s="330" t="s">
        <v>272</v>
      </c>
    </row>
    <row r="4" spans="2:9" x14ac:dyDescent="0.4">
      <c r="B4" s="53" t="s">
        <v>273</v>
      </c>
    </row>
    <row r="5" spans="2:9" x14ac:dyDescent="0.4">
      <c r="B5" s="53" t="s">
        <v>278</v>
      </c>
    </row>
    <row r="6" spans="2:9" x14ac:dyDescent="0.4">
      <c r="I6" s="165"/>
    </row>
    <row r="8" spans="2:9" x14ac:dyDescent="0.4">
      <c r="B8" s="53" t="s">
        <v>281</v>
      </c>
    </row>
    <row r="9" spans="2:9" x14ac:dyDescent="0.4">
      <c r="B9" s="53" t="s">
        <v>274</v>
      </c>
    </row>
    <row r="10" spans="2:9" x14ac:dyDescent="0.4">
      <c r="B10" s="53" t="s">
        <v>279</v>
      </c>
    </row>
    <row r="11" spans="2:9" x14ac:dyDescent="0.4">
      <c r="B11" s="53" t="s">
        <v>280</v>
      </c>
    </row>
    <row r="12" spans="2:9" x14ac:dyDescent="0.4">
      <c r="B12" s="53" t="s">
        <v>282</v>
      </c>
    </row>
    <row r="13" spans="2:9" x14ac:dyDescent="0.4">
      <c r="B13" s="53" t="s">
        <v>283</v>
      </c>
    </row>
    <row r="14" spans="2:9" ht="15.45" customHeight="1" x14ac:dyDescent="0.4"/>
    <row r="15" spans="2:9" ht="15.45" customHeight="1" x14ac:dyDescent="0.4"/>
    <row r="16" spans="2:9" ht="15.45" customHeight="1" x14ac:dyDescent="0.4"/>
    <row r="17" spans="2:2" ht="15.45" customHeight="1" x14ac:dyDescent="0.4"/>
    <row r="18" spans="2:2" ht="15.45" customHeight="1" x14ac:dyDescent="0.4"/>
    <row r="19" spans="2:2" ht="15.45" customHeight="1" x14ac:dyDescent="0.4"/>
    <row r="20" spans="2:2" ht="15.45" customHeight="1" x14ac:dyDescent="0.4"/>
    <row r="21" spans="2:2" ht="15.45" customHeight="1" x14ac:dyDescent="0.4"/>
    <row r="22" spans="2:2" ht="15.45" customHeight="1" x14ac:dyDescent="0.4"/>
    <row r="23" spans="2:2" ht="15.45" customHeight="1" x14ac:dyDescent="0.4"/>
    <row r="24" spans="2:2" ht="15.45" customHeight="1" x14ac:dyDescent="0.4"/>
    <row r="27" spans="2:2" ht="20.6" x14ac:dyDescent="0.55000000000000004">
      <c r="B27" s="330"/>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65D11-D8D3-4300-A2FC-88AC07F15CC0}">
  <sheetPr>
    <tabColor theme="1"/>
    <pageSetUpPr fitToPag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38.3046875" bestFit="1" customWidth="1"/>
    <col min="5" max="5" width="41.69140625" bestFit="1" customWidth="1"/>
    <col min="6" max="6" width="31.3046875" bestFit="1" customWidth="1"/>
    <col min="7" max="7" width="11" bestFit="1" customWidth="1"/>
    <col min="8" max="8" width="16.53515625" bestFit="1" customWidth="1"/>
    <col min="9" max="9" width="1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10098</v>
      </c>
      <c r="B4" s="9">
        <f>VLOOKUP(A4,'Project Status'!C:D,2,FALSE)</f>
        <v>1627</v>
      </c>
      <c r="C4" s="9" t="str">
        <f>VLOOKUP(A4,'Project Status'!C:E,3,FALSE)</f>
        <v>CP_400023</v>
      </c>
      <c r="D4" s="9" t="str">
        <f>VLOOKUP(A4,'Project Status'!C:F,4,FALSE)</f>
        <v>18200 - Basic Sciences: Office of the Dean</v>
      </c>
      <c r="E4" s="9" t="str">
        <f>VLOOKUP(A4,'Project Status'!C:I,7,FALSE)</f>
        <v>MRB III - 4th Floor - Replace Controls (Phase 2)</v>
      </c>
      <c r="F4" s="9" t="str">
        <f>VLOOKUP(A4,'Project Status'!C:K,8,FALSE)</f>
        <v>Complete</v>
      </c>
      <c r="G4" s="9" t="str">
        <f>VLOOKUP(A4,'Project Status'!C:L,9,FALSE)</f>
        <v>Finalized</v>
      </c>
      <c r="H4" s="18">
        <f>VLOOKUP(A4,'Project Status'!C:N,11,FALSE)</f>
        <v>1216485.5</v>
      </c>
      <c r="I4" s="35">
        <f>VLOOKUP(A4,'Project Status'!C:O,13,FALSE)</f>
        <v>1212084.54</v>
      </c>
    </row>
    <row r="8" spans="1:11" x14ac:dyDescent="0.4">
      <c r="E8" s="19" t="s">
        <v>123</v>
      </c>
    </row>
    <row r="9" spans="1:11" x14ac:dyDescent="0.4">
      <c r="E9" s="11" t="s">
        <v>133</v>
      </c>
      <c r="F9" s="13">
        <v>44769</v>
      </c>
      <c r="H9" s="20">
        <v>1216485.5</v>
      </c>
    </row>
    <row r="10" spans="1:11" x14ac:dyDescent="0.4">
      <c r="E10" s="11" t="s">
        <v>331</v>
      </c>
      <c r="F10" s="37" t="s">
        <v>286</v>
      </c>
      <c r="H10" s="20">
        <v>-4400.96</v>
      </c>
    </row>
    <row r="13" spans="1:11" x14ac:dyDescent="0.4">
      <c r="F13" s="8"/>
      <c r="G13" s="8"/>
      <c r="H13" s="23"/>
    </row>
    <row r="18" spans="5:8" x14ac:dyDescent="0.4">
      <c r="E18" s="28" t="s">
        <v>250</v>
      </c>
      <c r="F18" s="29"/>
      <c r="G18" s="28"/>
      <c r="H18" s="30">
        <f>SUM(H9:H17)</f>
        <v>1212084.54</v>
      </c>
    </row>
    <row r="20" spans="5:8" x14ac:dyDescent="0.4">
      <c r="E20" s="31" t="s">
        <v>135</v>
      </c>
      <c r="F20" s="31"/>
      <c r="G20" s="31"/>
      <c r="H20" s="32">
        <f>I4-H18</f>
        <v>0</v>
      </c>
    </row>
  </sheetData>
  <hyperlinks>
    <hyperlink ref="K1" location="'Project Status'!A1" display="'Project Status'!A1" xr:uid="{3F842A42-250F-4C9F-9E17-1DC6C976A04F}"/>
  </hyperlinks>
  <pageMargins left="0.7" right="0.7" top="0.75" bottom="0.75" header="0.3" footer="0.3"/>
  <pageSetup scale="93"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F0E31-E0C5-4A8C-BF15-1892C1CE6710}">
  <sheetPr>
    <tabColor theme="1"/>
  </sheetPr>
  <dimension ref="A1:K20"/>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10.3046875" bestFit="1" customWidth="1"/>
    <col min="4" max="5" width="28.84375" bestFit="1" customWidth="1"/>
    <col min="6" max="6" width="16.53515625" bestFit="1" customWidth="1"/>
    <col min="7" max="7" width="11.3046875" bestFit="1" customWidth="1"/>
    <col min="8" max="9" width="16.53515625" customWidth="1"/>
    <col min="11" max="11" width="15.6914062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10146</v>
      </c>
      <c r="B4" s="9">
        <f>VLOOKUP(A4,'Project Status'!C:D,2,FALSE)</f>
        <v>8206</v>
      </c>
      <c r="C4" s="9" t="str">
        <f>VLOOKUP(A4,'Project Status'!C:E,3,FALSE)</f>
        <v>CP_400025</v>
      </c>
      <c r="D4" s="9" t="str">
        <f>VLOOKUP(A4,'Project Status'!C:F,4,FALSE)</f>
        <v>19100 - Nursing: Business Affairs</v>
      </c>
      <c r="E4" s="9" t="str">
        <f>VLOOKUP(A4,'Project Status'!C:I,7,FALSE)</f>
        <v>Godchaux Hall - HVAC Upgrade</v>
      </c>
      <c r="F4" s="9" t="str">
        <f>VLOOKUP(A4,'Project Status'!C:K,9,FALSE)</f>
        <v>Finalized</v>
      </c>
      <c r="G4" s="9" t="str">
        <f>VLOOKUP(A4,'Project Status'!C:L,10,FALSE)</f>
        <v>Sean Rewers</v>
      </c>
      <c r="H4" s="25">
        <f>VLOOKUP(A4,'Project Status'!C:N,12,FALSE)</f>
        <v>318057</v>
      </c>
      <c r="I4" s="35">
        <f>VLOOKUP(A4,'Project Status'!C:Q,15,FALSE)</f>
        <v>253826.81</v>
      </c>
    </row>
    <row r="8" spans="1:11" x14ac:dyDescent="0.4">
      <c r="E8" s="19" t="s">
        <v>123</v>
      </c>
    </row>
    <row r="9" spans="1:11" x14ac:dyDescent="0.4">
      <c r="E9" s="11" t="s">
        <v>204</v>
      </c>
      <c r="F9" s="13" t="s">
        <v>145</v>
      </c>
      <c r="H9" s="20">
        <v>4900</v>
      </c>
    </row>
    <row r="10" spans="1:11" x14ac:dyDescent="0.4">
      <c r="E10" s="12" t="s">
        <v>208</v>
      </c>
      <c r="F10" s="10"/>
      <c r="G10" s="10"/>
      <c r="H10" s="24">
        <v>57200</v>
      </c>
    </row>
    <row r="11" spans="1:11" x14ac:dyDescent="0.4">
      <c r="H11" s="22">
        <f>SUM(H9:H10)</f>
        <v>62100</v>
      </c>
    </row>
    <row r="12" spans="1:11" x14ac:dyDescent="0.4">
      <c r="H12" s="23"/>
    </row>
    <row r="13" spans="1:11" x14ac:dyDescent="0.4">
      <c r="E13" s="11" t="s">
        <v>304</v>
      </c>
      <c r="F13" s="13" t="s">
        <v>303</v>
      </c>
      <c r="G13" s="8"/>
      <c r="H13" s="21">
        <v>11500</v>
      </c>
    </row>
    <row r="14" spans="1:11" x14ac:dyDescent="0.4">
      <c r="E14" s="11" t="s">
        <v>331</v>
      </c>
      <c r="F14" t="s">
        <v>171</v>
      </c>
      <c r="H14" s="21">
        <v>244457</v>
      </c>
    </row>
    <row r="15" spans="1:11" x14ac:dyDescent="0.4">
      <c r="E15" s="28" t="s">
        <v>344</v>
      </c>
      <c r="F15" s="29"/>
      <c r="G15" s="28"/>
      <c r="H15" s="30">
        <f>SUM(H13:H14)</f>
        <v>255957</v>
      </c>
    </row>
    <row r="17" spans="5:8" x14ac:dyDescent="0.4">
      <c r="E17" s="11" t="s">
        <v>609</v>
      </c>
      <c r="F17" t="s">
        <v>286</v>
      </c>
      <c r="H17" s="21">
        <v>-64230.19</v>
      </c>
    </row>
    <row r="20" spans="5:8" x14ac:dyDescent="0.4">
      <c r="E20" s="31" t="s">
        <v>135</v>
      </c>
      <c r="F20" s="31"/>
      <c r="G20" s="31"/>
      <c r="H20" s="32">
        <f>I4-H11-H15-H17</f>
        <v>0</v>
      </c>
    </row>
  </sheetData>
  <hyperlinks>
    <hyperlink ref="K1" location="'Project Status'!A1" display="'Project Status'!A1" xr:uid="{A956AABB-927C-4E8E-BB0A-A11D0E8D382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A4532-2517-40D8-9836-BAEE97010F5F}">
  <sheetPr>
    <tabColor theme="1"/>
    <pageSetUpPr fitToPage="1"/>
  </sheetPr>
  <dimension ref="A1:K20"/>
  <sheetViews>
    <sheetView zoomScale="90" zoomScaleNormal="90" workbookViewId="0">
      <selection activeCell="H20" sqref="H20"/>
    </sheetView>
  </sheetViews>
  <sheetFormatPr defaultRowHeight="14.6" x14ac:dyDescent="0.4"/>
  <cols>
    <col min="1" max="1" width="8.53515625" bestFit="1" customWidth="1"/>
    <col min="2" max="2" width="6.69140625" bestFit="1" customWidth="1"/>
    <col min="3" max="3" width="11" bestFit="1" customWidth="1"/>
    <col min="4" max="4" width="27.15234375" bestFit="1" customWidth="1"/>
    <col min="5" max="5" width="41.3046875" bestFit="1" customWidth="1"/>
    <col min="6" max="6" width="32.3046875" bestFit="1" customWidth="1"/>
    <col min="7" max="7" width="13.84375" bestFit="1" customWidth="1"/>
    <col min="8" max="8" width="16.53515625" bestFit="1" customWidth="1"/>
    <col min="9" max="9" width="1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20179</v>
      </c>
      <c r="B4" s="9">
        <f>VLOOKUP(A4,'Project Status'!C:D,2,FALSE)</f>
        <v>36015</v>
      </c>
      <c r="C4" s="9" t="str">
        <f>VLOOKUP(A4,'Project Status'!C:E,3,FALSE)</f>
        <v>CP_400024</v>
      </c>
      <c r="D4" s="9" t="str">
        <f>VLOOKUP(A4,'Project Status'!C:F,4,FALSE)</f>
        <v>17100 - Law: Business Affairs</v>
      </c>
      <c r="E4" s="9" t="str">
        <f>VLOOKUP(A4,'Project Status'!C:I,7,FALSE)</f>
        <v>Law School - Fire Alarm System Replacement</v>
      </c>
      <c r="F4" s="9" t="str">
        <f>VLOOKUP(A4,'Project Status'!C:K,8,FALSE)</f>
        <v>Complete</v>
      </c>
      <c r="G4" s="9" t="str">
        <f>VLOOKUP(A4,'Project Status'!C:L,9,FALSE)</f>
        <v>Finalized</v>
      </c>
      <c r="H4" s="18">
        <f>VLOOKUP(A4,'Project Status'!C:N,11,FALSE)</f>
        <v>1445389</v>
      </c>
      <c r="I4" s="35">
        <f>VLOOKUP(A4,'Project Status'!C:O,13,FALSE)</f>
        <v>1352423.14</v>
      </c>
    </row>
    <row r="8" spans="1:11" x14ac:dyDescent="0.4">
      <c r="E8" s="19" t="s">
        <v>123</v>
      </c>
    </row>
    <row r="9" spans="1:11" x14ac:dyDescent="0.4">
      <c r="E9" s="11" t="s">
        <v>133</v>
      </c>
      <c r="F9" s="13">
        <v>44769</v>
      </c>
      <c r="H9" s="20">
        <v>722694.5</v>
      </c>
    </row>
    <row r="10" spans="1:11" x14ac:dyDescent="0.4">
      <c r="E10" s="12" t="s">
        <v>134</v>
      </c>
      <c r="F10" s="10"/>
      <c r="G10" s="10"/>
      <c r="H10" s="24">
        <f>H4*0.5</f>
        <v>722694.5</v>
      </c>
    </row>
    <row r="11" spans="1:11" x14ac:dyDescent="0.4">
      <c r="E11" s="11" t="s">
        <v>409</v>
      </c>
      <c r="H11" s="20">
        <v>-92965.86</v>
      </c>
    </row>
    <row r="12" spans="1:11" x14ac:dyDescent="0.4">
      <c r="H12" s="22">
        <f>SUM(H9:H11)</f>
        <v>1352423.14</v>
      </c>
    </row>
    <row r="13" spans="1:11" x14ac:dyDescent="0.4">
      <c r="G13" s="8"/>
      <c r="H13" s="23"/>
    </row>
    <row r="18" spans="5:8" x14ac:dyDescent="0.4">
      <c r="E18" s="28" t="s">
        <v>250</v>
      </c>
      <c r="F18" s="29"/>
      <c r="G18" s="28"/>
      <c r="H18" s="30">
        <f>H9+H11</f>
        <v>629728.64</v>
      </c>
    </row>
    <row r="20" spans="5:8" x14ac:dyDescent="0.4">
      <c r="E20" s="31" t="s">
        <v>135</v>
      </c>
      <c r="F20" s="31"/>
      <c r="G20" s="31"/>
      <c r="H20" s="32">
        <f>I4-H12</f>
        <v>0</v>
      </c>
    </row>
  </sheetData>
  <hyperlinks>
    <hyperlink ref="K1" location="'Project Status'!A1" display="'Project Status'!A1" xr:uid="{FF747D79-FA74-4041-9077-E03AA4DE35BB}"/>
  </hyperlinks>
  <pageMargins left="0.7" right="0.7" top="0.75" bottom="0.75" header="0.3" footer="0.3"/>
  <pageSetup scale="9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B3ABF-18C6-4F89-8C73-DC9A13A9BBFA}">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6.69140625" bestFit="1" customWidth="1"/>
    <col min="3" max="3" width="11" bestFit="1" customWidth="1"/>
    <col min="4" max="4" width="29.69140625" bestFit="1" customWidth="1"/>
    <col min="5" max="5" width="45.53515625" bestFit="1" customWidth="1"/>
    <col min="6" max="6" width="32.3046875" bestFit="1" customWidth="1"/>
    <col min="7" max="7" width="11.3046875" bestFit="1" customWidth="1"/>
    <col min="8" max="8" width="16.53515625" bestFit="1" customWidth="1"/>
    <col min="9" max="9" width="13.304687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20336</v>
      </c>
      <c r="B4" s="9">
        <f>VLOOKUP(A4,'Project Status'!C:D,2,FALSE)</f>
        <v>20075</v>
      </c>
      <c r="C4" s="9" t="str">
        <f>VLOOKUP(A4,'Project Status'!C:E,3,FALSE)</f>
        <v>CP_400056</v>
      </c>
      <c r="D4" s="9" t="str">
        <f>VLOOKUP(A4,'Project Status'!C:F,4,FALSE)</f>
        <v>13000 - Blair: Office of the Dean</v>
      </c>
      <c r="E4" s="9" t="str">
        <f>VLOOKUP(A4,'Project Status'!C:I,7,FALSE)</f>
        <v>Blair School of Music - Elevator #3 Modernization</v>
      </c>
      <c r="F4" s="9" t="str">
        <f>VLOOKUP(A4,'Project Status'!C:K,8,FALSE)</f>
        <v>Complete</v>
      </c>
      <c r="G4" s="9" t="str">
        <f>VLOOKUP(A4,'Project Status'!C:L,9,FALSE)</f>
        <v>Finalized</v>
      </c>
      <c r="H4" s="18">
        <f>VLOOKUP(A4,'Project Status'!C:N,11,FALSE)</f>
        <v>327890</v>
      </c>
      <c r="I4" s="35">
        <f>VLOOKUP(A4,'Project Status'!C:O,13,FALSE)</f>
        <v>280600</v>
      </c>
    </row>
    <row r="8" spans="1:11" x14ac:dyDescent="0.4">
      <c r="E8" s="19" t="s">
        <v>123</v>
      </c>
    </row>
    <row r="9" spans="1:11" x14ac:dyDescent="0.4">
      <c r="E9" s="11" t="s">
        <v>165</v>
      </c>
      <c r="F9" s="13" t="s">
        <v>138</v>
      </c>
      <c r="H9" s="20">
        <v>12900</v>
      </c>
    </row>
    <row r="10" spans="1:11" x14ac:dyDescent="0.4">
      <c r="E10" s="11" t="s">
        <v>165</v>
      </c>
      <c r="F10" t="s">
        <v>145</v>
      </c>
      <c r="H10" s="21">
        <v>2200</v>
      </c>
    </row>
    <row r="11" spans="1:11" x14ac:dyDescent="0.4">
      <c r="E11" s="11" t="s">
        <v>204</v>
      </c>
      <c r="F11" t="s">
        <v>171</v>
      </c>
      <c r="H11" s="21">
        <v>312790</v>
      </c>
    </row>
    <row r="12" spans="1:11" x14ac:dyDescent="0.4">
      <c r="E12" s="11" t="s">
        <v>362</v>
      </c>
      <c r="F12" t="s">
        <v>286</v>
      </c>
      <c r="H12" s="20">
        <v>-47290</v>
      </c>
    </row>
    <row r="18" spans="5:8" x14ac:dyDescent="0.4">
      <c r="E18" s="28" t="s">
        <v>250</v>
      </c>
      <c r="F18" s="29"/>
      <c r="G18" s="28"/>
      <c r="H18" s="30">
        <f>SUM(H9:H17)</f>
        <v>280600</v>
      </c>
    </row>
    <row r="20" spans="5:8" x14ac:dyDescent="0.4">
      <c r="E20" s="31" t="s">
        <v>135</v>
      </c>
      <c r="F20" s="31"/>
      <c r="G20" s="31"/>
      <c r="H20" s="32">
        <f>I4-H18</f>
        <v>0</v>
      </c>
    </row>
  </sheetData>
  <hyperlinks>
    <hyperlink ref="K1" location="'Project Status'!A1" display="'Project Status'!A1" xr:uid="{2DD23A45-EA4E-4CC3-99A3-228E548F4DA6}"/>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188A8-AE00-488C-BF4D-AFD29D618018}">
  <sheetPr>
    <tabColor rgb="FFFFFF93"/>
  </sheetPr>
  <dimension ref="A1:L22"/>
  <sheetViews>
    <sheetView zoomScale="90" zoomScaleNormal="90" workbookViewId="0">
      <selection activeCell="H22" sqref="H22"/>
    </sheetView>
  </sheetViews>
  <sheetFormatPr defaultColWidth="9.3046875" defaultRowHeight="14.6" x14ac:dyDescent="0.4"/>
  <cols>
    <col min="1" max="1" width="8.3828125" style="39" bestFit="1" customWidth="1"/>
    <col min="2" max="2" width="5.3046875" style="39" bestFit="1" customWidth="1"/>
    <col min="3" max="3" width="10.69140625" style="39" bestFit="1" customWidth="1"/>
    <col min="4" max="4" width="31.15234375" style="39" bestFit="1" customWidth="1"/>
    <col min="5" max="5" width="60.3046875" style="39" bestFit="1" customWidth="1"/>
    <col min="6" max="6" width="31.3046875" style="39" bestFit="1" customWidth="1"/>
    <col min="7" max="7" width="10.3828125" style="39" bestFit="1" customWidth="1"/>
    <col min="8" max="8" width="16.53515625" style="39" bestFit="1" customWidth="1"/>
    <col min="9" max="9" width="14.69140625" style="39" bestFit="1" customWidth="1"/>
    <col min="10" max="10" width="65.69140625" style="39" bestFit="1" customWidth="1"/>
    <col min="11" max="11" width="16.3046875" style="39" bestFit="1" customWidth="1"/>
    <col min="12" max="12" width="11.69140625" style="39" bestFit="1" customWidth="1"/>
    <col min="13" max="16384" width="9.3046875" style="39"/>
  </cols>
  <sheetData>
    <row r="1" spans="1:12" x14ac:dyDescent="0.4">
      <c r="K1" s="40" t="s">
        <v>254</v>
      </c>
    </row>
    <row r="3" spans="1:12" x14ac:dyDescent="0.4">
      <c r="A3" s="41" t="s">
        <v>124</v>
      </c>
      <c r="B3" s="42" t="s">
        <v>125</v>
      </c>
      <c r="C3" s="41" t="s">
        <v>126</v>
      </c>
      <c r="D3" s="43" t="s">
        <v>86</v>
      </c>
      <c r="E3" s="43" t="s">
        <v>87</v>
      </c>
      <c r="F3" s="41" t="s">
        <v>127</v>
      </c>
      <c r="G3" s="41" t="s">
        <v>128</v>
      </c>
      <c r="H3" s="44" t="s">
        <v>129</v>
      </c>
      <c r="I3" s="45" t="s">
        <v>284</v>
      </c>
    </row>
    <row r="4" spans="1:12" x14ac:dyDescent="0.4">
      <c r="A4" s="46">
        <v>20431</v>
      </c>
      <c r="B4" s="46">
        <f>VLOOKUP(A4,'Project Status'!C:D,2,FALSE)</f>
        <v>8084</v>
      </c>
      <c r="C4" s="46" t="str">
        <f>VLOOKUP(A4,'Project Status'!C:E,3,FALSE)</f>
        <v>CP_400108</v>
      </c>
      <c r="D4" s="46" t="str">
        <f>VLOOKUP(A4,'Project Status'!C:F,4,FALSE)</f>
        <v>14000 - Divinity: Office of the Dean</v>
      </c>
      <c r="E4" s="46" t="str">
        <f>VLOOKUP(A4,'Project Status'!C:I,7,FALSE)</f>
        <v>Divinity Air Handling Unit Replacement, (5/6)- Phase 1</v>
      </c>
      <c r="F4" s="46" t="str">
        <f>VLOOKUP(A4,'Project Status'!C:K,9,FALSE)</f>
        <v>Warranty or Construction Closeout</v>
      </c>
      <c r="G4" s="46" t="str">
        <f>VLOOKUP(A4,'Project Status'!C:L,10,FALSE)</f>
        <v>Hans Mooy</v>
      </c>
      <c r="H4" s="47">
        <f>VLOOKUP(A4,'Project Status'!C:N,12,FALSE)</f>
        <v>3800000</v>
      </c>
      <c r="I4" s="48">
        <f>VLOOKUP(A4,'Project Status'!C:Q,15,FALSE)</f>
        <v>3542129.41</v>
      </c>
    </row>
    <row r="5" spans="1:12" x14ac:dyDescent="0.4">
      <c r="H5" s="49"/>
    </row>
    <row r="6" spans="1:12" x14ac:dyDescent="0.4">
      <c r="H6" s="49"/>
      <c r="J6" s="50">
        <v>0.75</v>
      </c>
      <c r="K6" s="50">
        <v>0.25</v>
      </c>
    </row>
    <row r="7" spans="1:12" ht="15" thickBot="1" x14ac:dyDescent="0.45">
      <c r="H7" s="49"/>
      <c r="J7" s="51" t="s">
        <v>176</v>
      </c>
      <c r="K7" s="51" t="s">
        <v>177</v>
      </c>
    </row>
    <row r="8" spans="1:12" x14ac:dyDescent="0.4">
      <c r="E8" s="52" t="s">
        <v>123</v>
      </c>
      <c r="H8" s="49"/>
    </row>
    <row r="9" spans="1:12" x14ac:dyDescent="0.4">
      <c r="E9" s="53" t="s">
        <v>178</v>
      </c>
      <c r="H9" s="49">
        <f>39900+3000+3590</f>
        <v>46490</v>
      </c>
      <c r="J9" s="54"/>
      <c r="K9" s="54"/>
    </row>
    <row r="10" spans="1:12" x14ac:dyDescent="0.4">
      <c r="E10" s="55" t="s">
        <v>172</v>
      </c>
      <c r="F10" s="56" t="s">
        <v>171</v>
      </c>
      <c r="G10" s="56"/>
      <c r="H10" s="57">
        <f>J10</f>
        <v>937.5</v>
      </c>
      <c r="I10" s="50"/>
      <c r="J10" s="54">
        <f>L10*J6</f>
        <v>937.5</v>
      </c>
      <c r="K10" s="54">
        <f>L10*K6</f>
        <v>312.5</v>
      </c>
      <c r="L10" s="58">
        <v>1250</v>
      </c>
    </row>
    <row r="11" spans="1:12" x14ac:dyDescent="0.4">
      <c r="E11" s="55" t="s">
        <v>172</v>
      </c>
      <c r="F11" s="59" t="s">
        <v>169</v>
      </c>
      <c r="G11" s="56"/>
      <c r="H11" s="57">
        <f>J11</f>
        <v>61425</v>
      </c>
      <c r="J11" s="54">
        <f>L11*J6</f>
        <v>61425</v>
      </c>
      <c r="K11" s="54">
        <f>L11*K6</f>
        <v>20475</v>
      </c>
      <c r="L11" s="58">
        <v>81900</v>
      </c>
    </row>
    <row r="12" spans="1:12" x14ac:dyDescent="0.4">
      <c r="E12" s="53" t="s">
        <v>179</v>
      </c>
      <c r="F12" s="60"/>
      <c r="H12" s="49">
        <f>K10+K11</f>
        <v>20787.5</v>
      </c>
      <c r="J12" s="54"/>
      <c r="K12" s="54"/>
    </row>
    <row r="13" spans="1:12" x14ac:dyDescent="0.4">
      <c r="E13" s="55" t="s">
        <v>214</v>
      </c>
      <c r="F13" s="56" t="s">
        <v>210</v>
      </c>
      <c r="G13" s="56"/>
      <c r="H13" s="61">
        <f>J13</f>
        <v>7500</v>
      </c>
      <c r="J13" s="54">
        <f>L13*J6</f>
        <v>7500</v>
      </c>
      <c r="K13" s="54">
        <f>L13*K6</f>
        <v>2500</v>
      </c>
      <c r="L13" s="58">
        <v>10000</v>
      </c>
    </row>
    <row r="14" spans="1:12" x14ac:dyDescent="0.4">
      <c r="E14" s="53" t="s">
        <v>215</v>
      </c>
      <c r="H14" s="62">
        <f>K13</f>
        <v>2500</v>
      </c>
      <c r="J14" s="54"/>
      <c r="K14" s="54"/>
    </row>
    <row r="15" spans="1:12" x14ac:dyDescent="0.4">
      <c r="E15" s="55" t="s">
        <v>304</v>
      </c>
      <c r="F15" s="56" t="s">
        <v>305</v>
      </c>
      <c r="G15" s="56"/>
      <c r="H15" s="61">
        <v>3660360</v>
      </c>
      <c r="J15" s="54"/>
      <c r="K15" s="54"/>
    </row>
    <row r="16" spans="1:12" x14ac:dyDescent="0.4">
      <c r="J16" s="54" t="s">
        <v>306</v>
      </c>
      <c r="K16" s="54"/>
    </row>
    <row r="17" spans="5:8" x14ac:dyDescent="0.4">
      <c r="H17" s="63">
        <f>SUM(H9:H16)</f>
        <v>3800000</v>
      </c>
    </row>
    <row r="19" spans="5:8" x14ac:dyDescent="0.4">
      <c r="F19" s="56"/>
      <c r="G19" s="56"/>
      <c r="H19" s="57"/>
    </row>
    <row r="20" spans="5:8" x14ac:dyDescent="0.4">
      <c r="E20" s="64" t="s">
        <v>250</v>
      </c>
      <c r="F20" s="65"/>
      <c r="G20" s="64"/>
      <c r="H20" s="66">
        <f>H10+H11+H13+H15</f>
        <v>3730222.5</v>
      </c>
    </row>
    <row r="22" spans="5:8" x14ac:dyDescent="0.4">
      <c r="E22" s="67" t="s">
        <v>135</v>
      </c>
      <c r="F22" s="67"/>
      <c r="G22" s="67"/>
      <c r="H22" s="68">
        <f>H4-H17</f>
        <v>0</v>
      </c>
    </row>
  </sheetData>
  <hyperlinks>
    <hyperlink ref="K1" location="'Project Status'!A1" display="'Project Status'!A1" xr:uid="{CDA93EF8-EDAF-40B0-9E35-101AB4694D4A}"/>
  </hyperlinks>
  <pageMargins left="0.7" right="0.7" top="0.75" bottom="0.75" header="0.3" footer="0.3"/>
  <pageSetup paperSize="5" scale="85" orientation="landscape"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1DA62-22D7-44EF-A36D-7DC7A5C83653}">
  <sheetPr>
    <tabColor rgb="FFFFFF93"/>
  </sheetPr>
  <dimension ref="A1:L23"/>
  <sheetViews>
    <sheetView zoomScale="90" zoomScaleNormal="90" workbookViewId="0">
      <selection activeCell="H20" sqref="H20"/>
    </sheetView>
  </sheetViews>
  <sheetFormatPr defaultColWidth="9.3046875" defaultRowHeight="14.6" x14ac:dyDescent="0.4"/>
  <cols>
    <col min="1" max="1" width="8.3828125" style="39" bestFit="1" customWidth="1"/>
    <col min="2" max="2" width="5.3046875" style="39" bestFit="1" customWidth="1"/>
    <col min="3" max="3" width="10.69140625" style="39" bestFit="1" customWidth="1"/>
    <col min="4" max="4" width="39.3046875" style="39" bestFit="1" customWidth="1"/>
    <col min="5" max="5" width="49.69140625" style="39" bestFit="1" customWidth="1"/>
    <col min="6" max="6" width="31.3046875" style="39" bestFit="1" customWidth="1"/>
    <col min="7" max="7" width="12.69140625" style="39" bestFit="1" customWidth="1"/>
    <col min="8" max="8" width="16.53515625" style="39" customWidth="1"/>
    <col min="9" max="10" width="14.69140625" style="39" bestFit="1" customWidth="1"/>
    <col min="11" max="11" width="16.3046875" style="39" bestFit="1" customWidth="1"/>
    <col min="12" max="12" width="14.69140625" style="39" bestFit="1" customWidth="1"/>
    <col min="13" max="16384" width="9.3046875" style="39"/>
  </cols>
  <sheetData>
    <row r="1" spans="1:12" x14ac:dyDescent="0.4">
      <c r="K1" s="40" t="s">
        <v>254</v>
      </c>
    </row>
    <row r="3" spans="1:12" x14ac:dyDescent="0.4">
      <c r="A3" s="41" t="s">
        <v>124</v>
      </c>
      <c r="B3" s="42" t="s">
        <v>125</v>
      </c>
      <c r="C3" s="41" t="s">
        <v>126</v>
      </c>
      <c r="D3" s="43" t="s">
        <v>86</v>
      </c>
      <c r="E3" s="43" t="s">
        <v>87</v>
      </c>
      <c r="F3" s="41" t="s">
        <v>127</v>
      </c>
      <c r="G3" s="41" t="s">
        <v>128</v>
      </c>
      <c r="H3" s="44" t="s">
        <v>129</v>
      </c>
      <c r="I3" s="45" t="s">
        <v>284</v>
      </c>
    </row>
    <row r="4" spans="1:12" x14ac:dyDescent="0.4">
      <c r="A4" s="46">
        <v>20478</v>
      </c>
      <c r="B4" s="46">
        <f>VLOOKUP(A4,'Project Status'!C:D,2,FALSE)</f>
        <v>8672</v>
      </c>
      <c r="C4" s="46" t="str">
        <f>VLOOKUP(A4,'Project Status'!C:E,3,FALSE)</f>
        <v>CP_400182</v>
      </c>
      <c r="D4" s="46" t="str">
        <f>VLOOKUP(A4,'Project Status'!C:F,4,FALSE)</f>
        <v>12000 - Arts and Science: Office of the Dean</v>
      </c>
      <c r="E4" s="46" t="str">
        <f>VLOOKUP(A4,'Project Status'!C:I,7,FALSE)</f>
        <v>Bryan Building - Swing Space Renovation - A&amp;S Planning</v>
      </c>
      <c r="F4" s="46" t="str">
        <f>VLOOKUP(A4,'Project Status'!C:K,9,FALSE)</f>
        <v>Warranty or Construction Closeout</v>
      </c>
      <c r="G4" s="46" t="str">
        <f>VLOOKUP(A4,'Project Status'!C:L,10,FALSE)</f>
        <v>Cathy Bartlett</v>
      </c>
      <c r="H4" s="47">
        <f>VLOOKUP(A4,'Project Status'!C:N,12,FALSE)</f>
        <v>2790000</v>
      </c>
      <c r="I4" s="48">
        <f>VLOOKUP(A4,'Project Status'!C:Q,15,FALSE)</f>
        <v>2652824.48</v>
      </c>
    </row>
    <row r="5" spans="1:12" x14ac:dyDescent="0.4">
      <c r="H5" s="49"/>
    </row>
    <row r="6" spans="1:12" x14ac:dyDescent="0.4">
      <c r="H6" s="49"/>
      <c r="J6" s="50"/>
      <c r="K6" s="50"/>
    </row>
    <row r="7" spans="1:12" ht="15" thickBot="1" x14ac:dyDescent="0.45">
      <c r="H7" s="49"/>
      <c r="J7" s="51" t="s">
        <v>176</v>
      </c>
      <c r="K7" s="51" t="s">
        <v>119</v>
      </c>
    </row>
    <row r="8" spans="1:12" x14ac:dyDescent="0.4">
      <c r="E8" s="52" t="s">
        <v>123</v>
      </c>
      <c r="H8" s="49"/>
    </row>
    <row r="9" spans="1:12" x14ac:dyDescent="0.4">
      <c r="E9" s="56" t="s">
        <v>225</v>
      </c>
      <c r="F9" s="56" t="s">
        <v>138</v>
      </c>
      <c r="G9" s="56"/>
      <c r="H9" s="57">
        <f>J9</f>
        <v>12100</v>
      </c>
      <c r="J9" s="54">
        <v>12100</v>
      </c>
      <c r="K9" s="54">
        <v>6900</v>
      </c>
      <c r="L9" s="58">
        <v>19000</v>
      </c>
    </row>
    <row r="10" spans="1:12" x14ac:dyDescent="0.4">
      <c r="E10" s="53" t="s">
        <v>226</v>
      </c>
      <c r="F10" s="60"/>
      <c r="H10" s="49">
        <f>K9</f>
        <v>6900</v>
      </c>
      <c r="I10" s="50"/>
      <c r="J10" s="54"/>
      <c r="K10" s="54"/>
    </row>
    <row r="11" spans="1:12" x14ac:dyDescent="0.4">
      <c r="E11" s="75" t="s">
        <v>251</v>
      </c>
      <c r="F11" s="56" t="s">
        <v>203</v>
      </c>
      <c r="G11" s="56"/>
      <c r="H11" s="57">
        <v>69000</v>
      </c>
      <c r="J11" s="54">
        <v>69000</v>
      </c>
      <c r="K11" s="54">
        <v>32500</v>
      </c>
      <c r="L11" s="58">
        <v>101500</v>
      </c>
    </row>
    <row r="12" spans="1:12" x14ac:dyDescent="0.4">
      <c r="E12" s="53" t="s">
        <v>226</v>
      </c>
      <c r="H12" s="62">
        <v>32500</v>
      </c>
      <c r="J12" s="54"/>
      <c r="K12" s="54"/>
    </row>
    <row r="13" spans="1:12" x14ac:dyDescent="0.4">
      <c r="E13" s="75" t="s">
        <v>297</v>
      </c>
      <c r="F13" s="56" t="s">
        <v>145</v>
      </c>
      <c r="G13" s="56"/>
      <c r="H13" s="61">
        <f>SUM(1110000-H11-H9)</f>
        <v>1028900</v>
      </c>
      <c r="J13" s="49">
        <v>1028900</v>
      </c>
      <c r="K13" s="49">
        <v>1640600</v>
      </c>
      <c r="L13" s="58">
        <f>SUM(J13:K13)</f>
        <v>2669500</v>
      </c>
    </row>
    <row r="14" spans="1:12" x14ac:dyDescent="0.4">
      <c r="E14" s="53" t="s">
        <v>265</v>
      </c>
      <c r="H14" s="62">
        <f>SUM(1680000-H12-H10)</f>
        <v>1640600</v>
      </c>
      <c r="J14" s="54"/>
      <c r="K14" s="54"/>
    </row>
    <row r="15" spans="1:12" x14ac:dyDescent="0.4">
      <c r="F15" s="56"/>
      <c r="G15" s="56"/>
      <c r="H15" s="76"/>
    </row>
    <row r="16" spans="1:12" x14ac:dyDescent="0.4">
      <c r="H16" s="63">
        <f>SUM(H9:H14)</f>
        <v>2790000</v>
      </c>
      <c r="J16" s="63">
        <f>SUM(J9:J13)</f>
        <v>1110000</v>
      </c>
      <c r="K16" s="63">
        <f>SUM(K9:K13)</f>
        <v>1680000</v>
      </c>
    </row>
    <row r="18" spans="5:8" x14ac:dyDescent="0.4">
      <c r="E18" s="64" t="s">
        <v>250</v>
      </c>
      <c r="F18" s="65"/>
      <c r="G18" s="64"/>
      <c r="H18" s="66">
        <f>H9+H11+H13</f>
        <v>1110000</v>
      </c>
    </row>
    <row r="20" spans="5:8" x14ac:dyDescent="0.4">
      <c r="E20" s="67" t="s">
        <v>135</v>
      </c>
      <c r="F20" s="67"/>
      <c r="G20" s="67"/>
      <c r="H20" s="68">
        <f>H4-H16</f>
        <v>0</v>
      </c>
    </row>
    <row r="23" spans="5:8" x14ac:dyDescent="0.4">
      <c r="H23" s="54"/>
    </row>
  </sheetData>
  <hyperlinks>
    <hyperlink ref="K1" location="'Project Status'!A1" display="'Project Status'!A1" xr:uid="{2B2C41BE-F208-47B4-9337-E73C3D59FDAF}"/>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B5749-E7D8-4D24-8193-D273A52FE892}">
  <sheetPr>
    <tabColor theme="4"/>
  </sheetPr>
  <dimension ref="A1:K20"/>
  <sheetViews>
    <sheetView topLeftCell="B1" zoomScale="90" zoomScaleNormal="90" workbookViewId="0">
      <selection activeCell="I20" sqref="I20"/>
    </sheetView>
  </sheetViews>
  <sheetFormatPr defaultColWidth="9.3046875" defaultRowHeight="14.6" x14ac:dyDescent="0.4"/>
  <cols>
    <col min="1" max="1" width="8.3828125" style="39" bestFit="1" customWidth="1"/>
    <col min="2" max="2" width="5.3046875" style="39" bestFit="1" customWidth="1"/>
    <col min="3" max="3" width="10.69140625" style="39" bestFit="1" customWidth="1"/>
    <col min="4" max="4" width="31.15234375" style="39" bestFit="1" customWidth="1"/>
    <col min="5" max="5" width="64.3046875" style="39" bestFit="1" customWidth="1"/>
    <col min="6" max="6" width="12.15234375" style="39" bestFit="1" customWidth="1"/>
    <col min="7" max="7" width="13.69140625" style="39" bestFit="1" customWidth="1"/>
    <col min="8" max="8" width="16.53515625" style="39" bestFit="1" customWidth="1"/>
    <col min="9" max="9" width="15.84375" style="39" customWidth="1"/>
    <col min="10" max="10" width="16.15234375" style="39" bestFit="1" customWidth="1"/>
    <col min="11" max="11" width="16.3046875" style="39" bestFit="1" customWidth="1"/>
    <col min="12" max="12" width="11.53515625" style="39" bestFit="1" customWidth="1"/>
    <col min="13"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20489</v>
      </c>
      <c r="B4" s="46">
        <f>VLOOKUP(A4,'Project Status'!C:D,2,FALSE)</f>
        <v>8051</v>
      </c>
      <c r="C4" s="46" t="str">
        <f>VLOOKUP(A4,'Project Status'!C:E,3,FALSE)</f>
        <v>CP_400183</v>
      </c>
      <c r="D4" s="46" t="str">
        <f>VLOOKUP(A4,'Project Status'!C:F,4,FALSE)</f>
        <v>14000 - Divinity: Office of the Dean</v>
      </c>
      <c r="E4" s="46" t="str">
        <f>VLOOKUP(A4,'Project Status'!C:I,7,FALSE)</f>
        <v>Divinity Air Handling Unit Replacement,(1/3) - Phase 2 with Benton - FY26</v>
      </c>
      <c r="F4" s="46" t="str">
        <f>VLOOKUP(A4,'Project Status'!C:K,9,FALSE)</f>
        <v>Construction</v>
      </c>
      <c r="G4" s="46" t="str">
        <f>VLOOKUP(A4,'Project Status'!C:L,10,FALSE)</f>
        <v>Jay Surprenant</v>
      </c>
      <c r="H4" s="47">
        <f>VLOOKUP(A4,'Project Status'!C:N,12,FALSE)</f>
        <v>3600000</v>
      </c>
      <c r="I4" s="48">
        <f>VLOOKUP(A4,'Project Status'!C:Q,15,FALSE)</f>
        <v>194523.21</v>
      </c>
    </row>
    <row r="5" spans="1:11" x14ac:dyDescent="0.4">
      <c r="H5" s="49"/>
    </row>
    <row r="6" spans="1:11" x14ac:dyDescent="0.4">
      <c r="H6" s="49"/>
      <c r="J6" s="50"/>
      <c r="K6" s="50"/>
    </row>
    <row r="7" spans="1:11" x14ac:dyDescent="0.4">
      <c r="H7" s="49"/>
    </row>
    <row r="8" spans="1:11" x14ac:dyDescent="0.4">
      <c r="E8" s="52" t="s">
        <v>123</v>
      </c>
      <c r="H8" s="71" t="s">
        <v>191</v>
      </c>
      <c r="I8" s="72" t="s">
        <v>592</v>
      </c>
    </row>
    <row r="9" spans="1:11" x14ac:dyDescent="0.4">
      <c r="E9" s="39" t="s">
        <v>225</v>
      </c>
      <c r="F9" s="39" t="s">
        <v>138</v>
      </c>
      <c r="H9" s="49">
        <v>26500</v>
      </c>
    </row>
    <row r="10" spans="1:11" x14ac:dyDescent="0.4">
      <c r="E10" s="73" t="s">
        <v>456</v>
      </c>
      <c r="F10" s="39" t="s">
        <v>145</v>
      </c>
      <c r="H10" s="49">
        <v>304500</v>
      </c>
    </row>
    <row r="11" spans="1:11" x14ac:dyDescent="0.4">
      <c r="E11" s="73" t="s">
        <v>591</v>
      </c>
      <c r="F11" s="39" t="s">
        <v>303</v>
      </c>
      <c r="G11" s="74"/>
      <c r="H11" s="49">
        <v>2369000</v>
      </c>
      <c r="I11" s="49">
        <v>900000</v>
      </c>
    </row>
    <row r="12" spans="1:11" x14ac:dyDescent="0.4">
      <c r="E12" s="53"/>
      <c r="F12" s="53"/>
      <c r="G12" s="53"/>
      <c r="H12" s="53"/>
      <c r="I12" s="53"/>
    </row>
    <row r="13" spans="1:11" x14ac:dyDescent="0.4">
      <c r="E13" s="74"/>
      <c r="F13" s="74"/>
      <c r="G13" s="74"/>
      <c r="H13" s="74"/>
      <c r="I13" s="74"/>
    </row>
    <row r="14" spans="1:11" x14ac:dyDescent="0.4">
      <c r="K14" s="54"/>
    </row>
    <row r="18" spans="5:9" x14ac:dyDescent="0.4">
      <c r="E18" s="64" t="s">
        <v>250</v>
      </c>
      <c r="F18" s="65"/>
      <c r="G18" s="64"/>
      <c r="H18" s="66">
        <f>SUM(H9:H17)</f>
        <v>2700000</v>
      </c>
      <c r="I18" s="66">
        <f>SUM(I9:I17)</f>
        <v>900000</v>
      </c>
    </row>
    <row r="19" spans="5:9" x14ac:dyDescent="0.4">
      <c r="H19" s="50">
        <f>H18/H4</f>
        <v>0.75</v>
      </c>
      <c r="I19" s="50">
        <f>I18/H4</f>
        <v>0.25</v>
      </c>
    </row>
    <row r="20" spans="5:9" x14ac:dyDescent="0.4">
      <c r="E20" s="67" t="s">
        <v>135</v>
      </c>
      <c r="F20" s="67"/>
      <c r="G20" s="67"/>
      <c r="H20" s="67"/>
      <c r="I20" s="68">
        <f>H4-H18-I18</f>
        <v>0</v>
      </c>
    </row>
  </sheetData>
  <phoneticPr fontId="5" type="noConversion"/>
  <hyperlinks>
    <hyperlink ref="K1" location="'Project Status'!A1" display="'Project Status'!A1" xr:uid="{83EE5C0E-27A0-4A9C-BCE2-8E4412DE4189}"/>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1C66A-8677-48E9-9015-6859C503EEA1}">
  <sheetPr>
    <tabColor theme="1"/>
    <pageSetUpPr fitToPage="1"/>
  </sheetPr>
  <dimension ref="A1:K20"/>
  <sheetViews>
    <sheetView zoomScale="90" zoomScaleNormal="90" workbookViewId="0">
      <selection activeCell="H20" sqref="H20"/>
    </sheetView>
  </sheetViews>
  <sheetFormatPr defaultRowHeight="14.6" x14ac:dyDescent="0.4"/>
  <cols>
    <col min="1" max="1" width="8.53515625" bestFit="1" customWidth="1"/>
    <col min="2" max="2" width="4.69140625" bestFit="1" customWidth="1"/>
    <col min="3" max="3" width="11" bestFit="1" customWidth="1"/>
    <col min="4" max="4" width="40.53515625" bestFit="1" customWidth="1"/>
    <col min="5" max="5" width="32.8437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20497</v>
      </c>
      <c r="B4" s="9">
        <f>VLOOKUP(A4,'Project Status'!C:D,2,FALSE)</f>
        <v>529</v>
      </c>
      <c r="C4" s="9" t="str">
        <f>VLOOKUP(A4,'Project Status'!C:E,3,FALSE)</f>
        <v>CP_400127</v>
      </c>
      <c r="D4" s="9" t="str">
        <f>VLOOKUP(A4,'Project Status'!C:F,4,FALSE)</f>
        <v>21000 - Peabody College: Office of the Dean</v>
      </c>
      <c r="E4" s="9" t="str">
        <f>VLOOKUP(A4,'Project Status'!C:I,7,FALSE)</f>
        <v>Jesup - Roof Replacement</v>
      </c>
      <c r="F4" s="9" t="str">
        <f>VLOOKUP(A4,'Project Status'!C:K,8,FALSE)</f>
        <v>Complete</v>
      </c>
      <c r="G4" s="9" t="str">
        <f>VLOOKUP(A4,'Project Status'!C:L,9,FALSE)</f>
        <v>Finalized</v>
      </c>
      <c r="H4" s="18">
        <f>VLOOKUP(A4,'Project Status'!C:N,11,FALSE)</f>
        <v>456850</v>
      </c>
      <c r="I4" s="35">
        <f>VLOOKUP(A4,'Project Status'!C:O,13,FALSE)</f>
        <v>412000</v>
      </c>
    </row>
    <row r="8" spans="1:11" x14ac:dyDescent="0.4">
      <c r="E8" s="19" t="s">
        <v>123</v>
      </c>
    </row>
    <row r="9" spans="1:11" x14ac:dyDescent="0.4">
      <c r="E9" s="11" t="s">
        <v>133</v>
      </c>
      <c r="F9" s="36">
        <v>44769</v>
      </c>
      <c r="H9" s="20">
        <v>79415.5</v>
      </c>
    </row>
    <row r="10" spans="1:11" x14ac:dyDescent="0.4">
      <c r="E10" s="12" t="s">
        <v>136</v>
      </c>
      <c r="F10" s="10"/>
      <c r="G10" s="10"/>
      <c r="H10" s="24">
        <f>372434.5+5000</f>
        <v>377434.5</v>
      </c>
    </row>
    <row r="11" spans="1:11" x14ac:dyDescent="0.4">
      <c r="E11" s="11" t="s">
        <v>315</v>
      </c>
      <c r="F11" t="s">
        <v>286</v>
      </c>
      <c r="H11" s="20">
        <v>-44850</v>
      </c>
    </row>
    <row r="18" spans="5:8" x14ac:dyDescent="0.4">
      <c r="E18" s="28" t="s">
        <v>250</v>
      </c>
      <c r="F18" s="29"/>
      <c r="G18" s="28"/>
      <c r="H18" s="30">
        <f>SUM(H9:H17)</f>
        <v>412000</v>
      </c>
    </row>
    <row r="20" spans="5:8" x14ac:dyDescent="0.4">
      <c r="E20" s="31" t="s">
        <v>135</v>
      </c>
      <c r="F20" s="31"/>
      <c r="G20" s="31"/>
      <c r="H20" s="32">
        <f>I4-H18</f>
        <v>0</v>
      </c>
    </row>
  </sheetData>
  <hyperlinks>
    <hyperlink ref="K1" location="'Project Status'!A1" display="'Project Status'!A1" xr:uid="{442995CA-F49C-4890-9FF0-75DAB9A467F0}"/>
  </hyperlinks>
  <pageMargins left="0.7" right="0.7" top="0.75" bottom="0.75" header="0.3" footer="0.3"/>
  <pageSetup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F1411-66F9-46BD-B491-CE4D2BDFCD99}">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40.53515625" bestFit="1" customWidth="1"/>
    <col min="5" max="5" width="34.6914062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20506</v>
      </c>
      <c r="B4" s="9">
        <f>VLOOKUP(A4,'Project Status'!C:D,2,FALSE)</f>
        <v>1170</v>
      </c>
      <c r="C4" s="9" t="str">
        <f>VLOOKUP(A4,'Project Status'!C:E,3,FALSE)</f>
        <v>CP_400192</v>
      </c>
      <c r="D4" s="9" t="str">
        <f>VLOOKUP(A4,'Project Status'!C:F,4,FALSE)</f>
        <v>21000 - Peabody College: Office of the Dean</v>
      </c>
      <c r="E4" s="9" t="str">
        <f>VLOOKUP(A4,'Project Status'!C:I,7,FALSE)</f>
        <v>Wyatt Center - Window Replacement</v>
      </c>
      <c r="F4" s="9" t="str">
        <f>VLOOKUP(A4,'Project Status'!C:K,8,FALSE)</f>
        <v>Complete</v>
      </c>
      <c r="G4" s="9" t="str">
        <f>VLOOKUP(A4,'Project Status'!C:L,9,FALSE)</f>
        <v>Finalized</v>
      </c>
      <c r="H4" s="25">
        <f>VLOOKUP(A4,'Project Status'!C:N,11,FALSE)</f>
        <v>344155.26</v>
      </c>
      <c r="I4" s="35">
        <f>VLOOKUP(A4,'Project Status'!C:O,13,FALSE)</f>
        <v>307776.26</v>
      </c>
    </row>
    <row r="8" spans="1:11" x14ac:dyDescent="0.4">
      <c r="E8" s="19" t="s">
        <v>123</v>
      </c>
    </row>
    <row r="9" spans="1:11" x14ac:dyDescent="0.4">
      <c r="E9" s="11" t="s">
        <v>251</v>
      </c>
      <c r="F9" s="13" t="s">
        <v>138</v>
      </c>
      <c r="H9" s="20">
        <v>344155.26</v>
      </c>
    </row>
    <row r="10" spans="1:11" x14ac:dyDescent="0.4">
      <c r="E10" s="11" t="s">
        <v>315</v>
      </c>
      <c r="F10" t="s">
        <v>286</v>
      </c>
      <c r="H10" s="20">
        <v>-36379</v>
      </c>
    </row>
    <row r="12" spans="1:11" x14ac:dyDescent="0.4">
      <c r="E12" s="11"/>
    </row>
    <row r="13" spans="1:11" x14ac:dyDescent="0.4">
      <c r="E13" s="11"/>
      <c r="F13" s="8"/>
      <c r="G13" s="8"/>
      <c r="H13" s="23"/>
    </row>
    <row r="14" spans="1:11" x14ac:dyDescent="0.4">
      <c r="E14" s="11"/>
    </row>
    <row r="18" spans="5:8" x14ac:dyDescent="0.4">
      <c r="E18" s="28" t="s">
        <v>250</v>
      </c>
      <c r="F18" s="29"/>
      <c r="G18" s="28"/>
      <c r="H18" s="30">
        <f>SUM(H9:H17)</f>
        <v>307776.26</v>
      </c>
    </row>
    <row r="20" spans="5:8" x14ac:dyDescent="0.4">
      <c r="E20" s="31" t="s">
        <v>135</v>
      </c>
      <c r="F20" s="31"/>
      <c r="G20" s="31"/>
      <c r="H20" s="32">
        <f>I4-H18</f>
        <v>0</v>
      </c>
    </row>
  </sheetData>
  <hyperlinks>
    <hyperlink ref="K1" location="'Project Status'!A1" display="'Project Status'!A1" xr:uid="{6B2AECA2-CEB3-47AB-8FFB-58AED0692E6C}"/>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4EF5E-B4FA-4E52-9E64-945A930AA128}">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40.53515625" bestFit="1" customWidth="1"/>
    <col min="5" max="5" width="31" bestFit="1" customWidth="1"/>
    <col min="6" max="6" width="32.3046875" bestFit="1" customWidth="1"/>
    <col min="7" max="7" width="12.3046875" bestFit="1" customWidth="1"/>
    <col min="8" max="8" width="16.53515625" bestFit="1" customWidth="1"/>
    <col min="9" max="9" width="13.304687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20562</v>
      </c>
      <c r="B4" s="9">
        <f>VLOOKUP(A4,'Project Status'!C:D,2,FALSE)</f>
        <v>4564</v>
      </c>
      <c r="C4" s="9" t="str">
        <f>VLOOKUP(A4,'Project Status'!C:E,3,FALSE)</f>
        <v>CP_400175</v>
      </c>
      <c r="D4" s="9" t="str">
        <f>VLOOKUP(A4,'Project Status'!C:F,4,FALSE)</f>
        <v>21000 - Peabody College: Office of the Dean</v>
      </c>
      <c r="E4" s="9" t="str">
        <f>VLOOKUP(A4,'Project Status'!C:I,7,FALSE)</f>
        <v>Wyatt Center - VAV Replacement</v>
      </c>
      <c r="F4" s="9" t="str">
        <f>VLOOKUP(A4,'Project Status'!C:K,8,FALSE)</f>
        <v>Complete</v>
      </c>
      <c r="G4" s="9" t="str">
        <f>VLOOKUP(A4,'Project Status'!C:L,9,FALSE)</f>
        <v>Finalized</v>
      </c>
      <c r="H4" s="25">
        <f>VLOOKUP(A4,'Project Status'!C:N,11,FALSE)</f>
        <v>400000</v>
      </c>
      <c r="I4" s="35">
        <f>VLOOKUP(A4,'Project Status'!C:O,13,FALSE)</f>
        <v>362559.64</v>
      </c>
    </row>
    <row r="8" spans="1:11" x14ac:dyDescent="0.4">
      <c r="E8" s="19" t="s">
        <v>123</v>
      </c>
    </row>
    <row r="9" spans="1:11" x14ac:dyDescent="0.4">
      <c r="E9" s="11" t="s">
        <v>219</v>
      </c>
      <c r="F9" s="13" t="s">
        <v>138</v>
      </c>
      <c r="H9" s="20">
        <v>405791</v>
      </c>
    </row>
    <row r="10" spans="1:11" x14ac:dyDescent="0.4">
      <c r="E10" s="11" t="s">
        <v>362</v>
      </c>
      <c r="F10" t="s">
        <v>286</v>
      </c>
      <c r="H10" s="20">
        <v>-43231.360000000001</v>
      </c>
    </row>
    <row r="13" spans="1:11" x14ac:dyDescent="0.4">
      <c r="F13" s="8"/>
      <c r="G13" s="8"/>
      <c r="H13" s="23"/>
    </row>
    <row r="18" spans="5:8" x14ac:dyDescent="0.4">
      <c r="E18" s="28" t="s">
        <v>250</v>
      </c>
      <c r="F18" s="29"/>
      <c r="G18" s="28"/>
      <c r="H18" s="30">
        <f>SUM(H9:H17)</f>
        <v>362559.64</v>
      </c>
    </row>
    <row r="20" spans="5:8" x14ac:dyDescent="0.4">
      <c r="E20" s="31" t="s">
        <v>135</v>
      </c>
      <c r="F20" s="31"/>
      <c r="G20" s="31"/>
      <c r="H20" s="32">
        <f>I4-H18</f>
        <v>0</v>
      </c>
    </row>
  </sheetData>
  <hyperlinks>
    <hyperlink ref="K1" location="'Project Status'!A1" display="'Project Status'!A1" xr:uid="{A927072C-3DC7-480C-8A16-E5883B6FDD97}"/>
  </hyperlink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AA370-9E61-4D0F-94A0-75F0647B3E24}">
  <sheetPr>
    <tabColor theme="0" tint="-0.499984740745262"/>
    <pageSetUpPr fitToPage="1"/>
  </sheetPr>
  <dimension ref="A1:M35"/>
  <sheetViews>
    <sheetView tabSelected="1" zoomScaleNormal="100" workbookViewId="0">
      <selection activeCell="B2" sqref="B2"/>
    </sheetView>
  </sheetViews>
  <sheetFormatPr defaultColWidth="9.3046875" defaultRowHeight="14.6" x14ac:dyDescent="0.4"/>
  <cols>
    <col min="1" max="1" width="32.3046875" style="39" customWidth="1"/>
    <col min="2" max="2" width="12.53515625" style="39" customWidth="1"/>
    <col min="3" max="8" width="15.3046875" style="39" customWidth="1"/>
    <col min="9" max="16384" width="9.3046875" style="39"/>
  </cols>
  <sheetData>
    <row r="1" spans="1:13" s="241" customFormat="1" x14ac:dyDescent="0.4">
      <c r="A1" s="56" t="s">
        <v>627</v>
      </c>
      <c r="B1" s="39"/>
      <c r="C1" s="39"/>
      <c r="D1" s="39"/>
      <c r="E1" s="39"/>
      <c r="F1" s="39"/>
      <c r="G1" s="39"/>
      <c r="H1" s="39"/>
    </row>
    <row r="2" spans="1:13" s="241" customFormat="1" x14ac:dyDescent="0.4">
      <c r="A2" s="302" t="s">
        <v>111</v>
      </c>
      <c r="B2" s="277">
        <v>46036</v>
      </c>
      <c r="C2" s="39"/>
      <c r="D2" s="39"/>
      <c r="E2" s="39"/>
      <c r="F2" s="39"/>
      <c r="G2" s="39"/>
      <c r="H2" s="39"/>
    </row>
    <row r="4" spans="1:13" x14ac:dyDescent="0.4">
      <c r="A4" s="56"/>
      <c r="D4" s="303"/>
      <c r="E4" s="303"/>
      <c r="F4" s="303"/>
      <c r="G4" s="303"/>
    </row>
    <row r="5" spans="1:13" ht="43.75" x14ac:dyDescent="0.4">
      <c r="A5" s="243" t="s">
        <v>86</v>
      </c>
      <c r="B5" s="280" t="s">
        <v>99</v>
      </c>
      <c r="C5" s="304" t="s">
        <v>570</v>
      </c>
      <c r="D5" s="305" t="s">
        <v>392</v>
      </c>
      <c r="E5" s="306" t="s">
        <v>393</v>
      </c>
      <c r="F5" s="307" t="s">
        <v>567</v>
      </c>
      <c r="G5" s="308" t="s">
        <v>578</v>
      </c>
      <c r="H5" s="309" t="s">
        <v>346</v>
      </c>
    </row>
    <row r="6" spans="1:13" x14ac:dyDescent="0.4">
      <c r="A6" s="39" t="s">
        <v>188</v>
      </c>
      <c r="B6" s="88">
        <f>SUMIF(Contributions!M:M,'Summary_for Web-1'!A6,Contributions!N:N)</f>
        <v>1168519.7720314125</v>
      </c>
      <c r="C6" s="310">
        <f>SUMIF(Contributions!A:A,'Summary_for Web-1'!A6,Contributions!C:C)+SUMIF(Contributions!E:E,'Summary_for Web-1'!A6,Contributions!G:G)+SUMIF(Contributions!I:I,'Summary_for Web-1'!A6,Contributions!K:K)+SUMIF(Contributions!M:M,'Summary_for Web-1'!A6,Contributions!O:O)</f>
        <v>18052948.495981622</v>
      </c>
      <c r="D6" s="311">
        <f>'Shared Building Allocation'!F5*1000000</f>
        <v>2276289.625</v>
      </c>
      <c r="E6" s="312">
        <f>'Shared Building Allocation'!K5*1000000</f>
        <v>2619344.7040000004</v>
      </c>
      <c r="F6" s="313">
        <f>'Shared Building Allocation'!P5*1000000</f>
        <v>2109671.35</v>
      </c>
      <c r="G6" s="314">
        <f>'Shared Building Allocation'!U5*1000000</f>
        <v>-2253.2899999999913</v>
      </c>
      <c r="H6" s="315">
        <f>C6-D6-E6-F6-G6</f>
        <v>11049896.106981622</v>
      </c>
      <c r="J6" s="316"/>
      <c r="K6" s="316"/>
      <c r="L6" s="316"/>
      <c r="M6" s="316"/>
    </row>
    <row r="7" spans="1:13" x14ac:dyDescent="0.4">
      <c r="A7" s="39" t="s">
        <v>190</v>
      </c>
      <c r="B7" s="88">
        <f>SUMIF(Contributions!M:M,'Summary_for Web-1'!A7,Contributions!N:N)</f>
        <v>121417.21100126416</v>
      </c>
      <c r="C7" s="317">
        <f>SUMIF(Contributions!A:A,'Summary_for Web-1'!A7,Contributions!C:C)+SUMIF(Contributions!E:E,'Summary_for Web-1'!A7,Contributions!G:G)+SUMIF(Contributions!I:I,'Summary_for Web-1'!A7,Contributions!K:K)+SUMIF(Contributions!M:M,'Summary_for Web-1'!A7,Contributions!O:O)</f>
        <v>2048063.4197422713</v>
      </c>
      <c r="D7" s="318">
        <f>SUMIF('Project Status'!G:G,'Summary_for Web-1'!A7,'Project Status'!S:S)</f>
        <v>574290</v>
      </c>
      <c r="E7" s="319">
        <f>SUMIF('Project Status'!G:G,'Summary_for Web-1'!A7,'Project Status'!T:T)</f>
        <v>1916810</v>
      </c>
      <c r="F7" s="320">
        <f>SUMIF('Project Status'!G:G,'Summary_for Web-1'!A7,'Project Status'!U:U)</f>
        <v>1486000</v>
      </c>
      <c r="G7" s="321">
        <f>SUMIF('Project Status'!G:G,'Summary_for Web-1'!A7,'Project Status'!V:V)</f>
        <v>1567758.28</v>
      </c>
      <c r="H7" s="322">
        <f>C7-D7-E7-F7-G7</f>
        <v>-3496794.860257729</v>
      </c>
      <c r="J7" s="316"/>
      <c r="K7" s="316"/>
      <c r="L7" s="316"/>
      <c r="M7" s="316"/>
    </row>
    <row r="8" spans="1:13" x14ac:dyDescent="0.4">
      <c r="A8" s="39" t="s">
        <v>667</v>
      </c>
      <c r="B8" s="88">
        <f>SUMIF(Contributions!M:M,'Summary_for Web-1'!A8,Contributions!N:N)</f>
        <v>42638.088851024644</v>
      </c>
      <c r="C8" s="317">
        <f>SUMIF(Contributions!A:A,'Summary_for Web-1'!A8,Contributions!C:C)+SUMIF(Contributions!E:E,'Summary_for Web-1'!A8,Contributions!G:G)+SUMIF(Contributions!I:I,'Summary_for Web-1'!A8,Contributions!K:K)+SUMIF(Contributions!M:M,'Summary_for Web-1'!A8,Contributions!O:O)</f>
        <v>193576.92338365188</v>
      </c>
      <c r="D8" s="318">
        <f>SUMIF('Project Status'!G:G,'Summary_for Web-1'!A8,'Project Status'!S:S)</f>
        <v>0</v>
      </c>
      <c r="E8" s="319">
        <f>SUMIF('Project Status'!G:G,'Summary_for Web-1'!A8,'Project Status'!T:T)</f>
        <v>0</v>
      </c>
      <c r="F8" s="320">
        <f>SUMIF('Project Status'!G:G,'Summary_for Web-1'!A8,'Project Status'!U:U)</f>
        <v>0</v>
      </c>
      <c r="G8" s="321">
        <f>SUMIF('Project Status'!G:G,'Summary_for Web-1'!A8,'Project Status'!V:V)</f>
        <v>25550</v>
      </c>
      <c r="H8" s="322">
        <f>C8-D8-E8-F8-G8</f>
        <v>168026.92338365188</v>
      </c>
      <c r="K8" s="316"/>
      <c r="L8" s="316"/>
      <c r="M8" s="316"/>
    </row>
    <row r="9" spans="1:13" x14ac:dyDescent="0.4">
      <c r="A9" s="39" t="s">
        <v>191</v>
      </c>
      <c r="B9" s="88">
        <f>SUMIF(Contributions!M:M,'Summary_for Web-1'!A9,Contributions!N:N)</f>
        <v>58286.961475850505</v>
      </c>
      <c r="C9" s="317">
        <f>SUMIF(Contributions!A:A,'Summary_for Web-1'!A9,Contributions!C:C)+SUMIF(Contributions!E:E,'Summary_for Web-1'!A9,Contributions!G:G)+SUMIF(Contributions!I:I,'Summary_for Web-1'!A9,Contributions!K:K)+SUMIF(Contributions!M:M,'Summary_for Web-1'!A9,Contributions!O:O)</f>
        <v>957401.80888624233</v>
      </c>
      <c r="D9" s="318">
        <f>SUMIF('Project Status'!G:G,'Summary_for Web-1'!A9,'Project Status'!S:S)</f>
        <v>96362.5</v>
      </c>
      <c r="E9" s="319">
        <f>SUMIF('Project Status'!G:G,'Summary_for Web-1'!A9,'Project Status'!T:T)</f>
        <v>3660360</v>
      </c>
      <c r="F9" s="320">
        <f>SUMIF('Project Status'!G:G,'Summary_for Web-1'!A9,'Project Status'!U:U)</f>
        <v>304500</v>
      </c>
      <c r="G9" s="321">
        <f>SUMIF('Project Status'!G:G,'Summary_for Web-1'!A9,'Project Status'!V:V)</f>
        <v>2369000</v>
      </c>
      <c r="H9" s="322">
        <f>C9-D9-E9-F9-G9</f>
        <v>-5472820.6911137579</v>
      </c>
      <c r="J9" s="316"/>
      <c r="K9" s="316"/>
      <c r="L9" s="316"/>
      <c r="M9" s="316"/>
    </row>
    <row r="10" spans="1:13" x14ac:dyDescent="0.4">
      <c r="A10" s="39" t="s">
        <v>192</v>
      </c>
      <c r="B10" s="88">
        <f>SUMIF(Contributions!M:M,'Summary_for Web-1'!A10,Contributions!N:N)</f>
        <v>490439.88505166722</v>
      </c>
      <c r="C10" s="317">
        <f>SUMIF(Contributions!A:A,'Summary_for Web-1'!A10,Contributions!C:C)+SUMIF(Contributions!E:E,'Summary_for Web-1'!A10,Contributions!G:G)+SUMIF(Contributions!I:I,'Summary_for Web-1'!A10,Contributions!K:K)+SUMIF(Contributions!M:M,'Summary_for Web-1'!A10,Contributions!O:O)</f>
        <v>8742210.2723858841</v>
      </c>
      <c r="D10" s="318">
        <f>SUMIF('Project Status'!G:G,'Summary_for Web-1'!A10,'Project Status'!S:S)</f>
        <v>353000</v>
      </c>
      <c r="E10" s="319">
        <f>SUMIF('Project Status'!G:G,'Summary_for Web-1'!A10,'Project Status'!T:T)</f>
        <v>24933</v>
      </c>
      <c r="F10" s="320">
        <f>SUMIF('Project Status'!G:G,'Summary_for Web-1'!A10,'Project Status'!U:U)</f>
        <v>3324484.74</v>
      </c>
      <c r="G10" s="321">
        <f>SUMIF('Project Status'!G:G,'Summary_for Web-1'!A10,'Project Status'!V:V)</f>
        <v>424238.83999999997</v>
      </c>
      <c r="H10" s="322">
        <f>C10-D10-E10-F10-G10</f>
        <v>4615553.692385884</v>
      </c>
      <c r="K10" s="316"/>
      <c r="L10" s="316"/>
      <c r="M10" s="316"/>
    </row>
    <row r="11" spans="1:13" x14ac:dyDescent="0.4">
      <c r="A11" s="39" t="s">
        <v>193</v>
      </c>
      <c r="B11" s="88">
        <f>SUMIF(Contributions!M:M,'Summary_for Web-1'!A11,Contributions!N:N)</f>
        <v>119265.35530160108</v>
      </c>
      <c r="C11" s="317">
        <f>SUMIF(Contributions!A:A,'Summary_for Web-1'!A11,Contributions!C:C)+SUMIF(Contributions!E:E,'Summary_for Web-1'!A11,Contributions!G:G)+SUMIF(Contributions!I:I,'Summary_for Web-1'!A11,Contributions!K:K)+SUMIF(Contributions!M:M,'Summary_for Web-1'!A11,Contributions!O:O)</f>
        <v>1969283.776138538</v>
      </c>
      <c r="D11" s="318">
        <f>SUMIF('Project Status'!G:G,'Summary_for Web-1'!A11,'Project Status'!S:S)</f>
        <v>1206134.5</v>
      </c>
      <c r="E11" s="319">
        <f>SUMIF('Project Status'!G:G,'Summary_for Web-1'!A11,'Project Status'!T:T)</f>
        <v>661160</v>
      </c>
      <c r="F11" s="320">
        <f>SUMIF('Project Status'!G:G,'Summary_for Web-1'!A11,'Project Status'!U:U)</f>
        <v>284467.30000000005</v>
      </c>
      <c r="G11" s="321">
        <f>SUMIF('Project Status'!G:G,'Summary_for Web-1'!A11,'Project Status'!V:V)</f>
        <v>-120332</v>
      </c>
      <c r="H11" s="322">
        <f>C11-D11-E11-F11-G11</f>
        <v>-62146.023861462018</v>
      </c>
      <c r="J11" s="316"/>
      <c r="K11" s="316"/>
      <c r="L11" s="316"/>
      <c r="M11" s="316"/>
    </row>
    <row r="12" spans="1:13" x14ac:dyDescent="0.4">
      <c r="A12" s="39" t="s">
        <v>665</v>
      </c>
      <c r="B12" s="88">
        <f>SUMIF(Contributions!M:M,'Summary_for Web-1'!A12,Contributions!N:N)</f>
        <v>334042.36306245415</v>
      </c>
      <c r="C12" s="317">
        <f>SUMIF(Contributions!A:A,'Summary_for Web-1'!A12,Contributions!C:C)+SUMIF(Contributions!E:E,'Summary_for Web-1'!A12,Contributions!G:G)+SUMIF(Contributions!I:I,'Summary_for Web-1'!A12,Contributions!K:K)+SUMIF(Contributions!M:M,'Summary_for Web-1'!A12,Contributions!O:O)</f>
        <v>4958227.8834510576</v>
      </c>
      <c r="D12" s="318">
        <f>'Shared Building Allocation'!F6*1000000</f>
        <v>1036871.8750000001</v>
      </c>
      <c r="E12" s="319">
        <f>'Shared Building Allocation'!K6*1000000</f>
        <v>-17509.674000000003</v>
      </c>
      <c r="F12" s="320">
        <f>'Shared Building Allocation'!P6*1000000</f>
        <v>1016425.05</v>
      </c>
      <c r="G12" s="321">
        <f>'Shared Building Allocation'!U6*1000000</f>
        <v>309737.99999999994</v>
      </c>
      <c r="H12" s="322">
        <f>C12-D12-E12-F12-G12</f>
        <v>2612702.6324510574</v>
      </c>
      <c r="J12" s="316"/>
      <c r="K12" s="316"/>
      <c r="L12" s="316"/>
      <c r="M12" s="316"/>
    </row>
    <row r="13" spans="1:13" x14ac:dyDescent="0.4">
      <c r="A13" s="39" t="s">
        <v>666</v>
      </c>
      <c r="B13" s="88">
        <f>SUMIF(Contributions!M:M,'Summary_for Web-1'!A13,Contributions!N:N)</f>
        <v>105746.45000000003</v>
      </c>
      <c r="C13" s="317">
        <f>SUMIF(Contributions!A:A,'Summary_for Web-1'!A13,Contributions!C:C)+SUMIF(Contributions!E:E,'Summary_for Web-1'!A13,Contributions!G:G)+SUMIF(Contributions!I:I,'Summary_for Web-1'!A13,Contributions!K:K)+SUMIF(Contributions!M:M,'Summary_for Web-1'!A13,Contributions!O:O)</f>
        <v>1741672.2044000002</v>
      </c>
      <c r="D13" s="318">
        <f>SUMIF('Project Status'!G:G,'Summary_for Web-1'!A13,'Project Status'!S:S)</f>
        <v>4900</v>
      </c>
      <c r="E13" s="319">
        <f>SUMIF('Project Status'!G:G,'Summary_for Web-1'!A13,'Project Status'!T:T)</f>
        <v>286527</v>
      </c>
      <c r="F13" s="320">
        <f>SUMIF('Project Status'!G:G,'Summary_for Web-1'!A13,'Project Status'!U:U)</f>
        <v>45530</v>
      </c>
      <c r="G13" s="321">
        <f>SUMIF('Project Status'!G:G,'Summary_for Web-1'!A13,'Project Status'!V:V)</f>
        <v>-64230.19</v>
      </c>
      <c r="H13" s="322">
        <f>C13-D13-E13-F13-G13</f>
        <v>1468945.3944000001</v>
      </c>
      <c r="K13" s="316"/>
      <c r="L13" s="316"/>
      <c r="M13" s="316"/>
    </row>
    <row r="14" spans="1:13" x14ac:dyDescent="0.4">
      <c r="A14" s="39" t="s">
        <v>189</v>
      </c>
      <c r="B14" s="88">
        <f>SUMIF(Contributions!M:M,'Summary_for Web-1'!A14,Contributions!N:N)</f>
        <v>99610.067310203041</v>
      </c>
      <c r="C14" s="317">
        <f>SUMIF(Contributions!A:A,'Summary_for Web-1'!A14,Contributions!C:C)+SUMIF(Contributions!E:E,'Summary_for Web-1'!A14,Contributions!G:G)+SUMIF(Contributions!I:I,'Summary_for Web-1'!A14,Contributions!K:K)+SUMIF(Contributions!M:M,'Summary_for Web-1'!A14,Contributions!O:O)</f>
        <v>1499019.2091097203</v>
      </c>
      <c r="D14" s="318">
        <f>SUMIF('Project Status'!G:G,'Summary_for Web-1'!A14,'Project Status'!S:S)</f>
        <v>300000</v>
      </c>
      <c r="E14" s="319">
        <f>SUMIF('Project Status'!G:G,'Summary_for Web-1'!A14,'Project Status'!T:T)</f>
        <v>1576500</v>
      </c>
      <c r="F14" s="320">
        <f>SUMIF('Project Status'!G:G,'Summary_for Web-1'!A14,'Project Status'!U:U)</f>
        <v>1600000</v>
      </c>
      <c r="G14" s="321">
        <f>SUMIF('Project Status'!G:G,'Summary_for Web-1'!A14,'Project Status'!V:V)</f>
        <v>-222611.86</v>
      </c>
      <c r="H14" s="322">
        <f>C14-D14-E14-F14-G14</f>
        <v>-1754868.9308902798</v>
      </c>
      <c r="K14" s="316"/>
      <c r="L14" s="316"/>
      <c r="M14" s="316"/>
    </row>
    <row r="15" spans="1:13" x14ac:dyDescent="0.4">
      <c r="A15" s="39" t="s">
        <v>194</v>
      </c>
      <c r="B15" s="88">
        <f>SUMIF(Contributions!M:M,'Summary_for Web-1'!A15,Contributions!N:N)</f>
        <v>381580.02507269708</v>
      </c>
      <c r="C15" s="317">
        <f>SUMIF(Contributions!A:A,'Summary_for Web-1'!A15,Contributions!C:C)+SUMIF(Contributions!E:E,'Summary_for Web-1'!A15,Contributions!G:G)+SUMIF(Contributions!I:I,'Summary_for Web-1'!A15,Contributions!K:K)+SUMIF(Contributions!M:M,'Summary_for Web-1'!A15,Contributions!O:O)</f>
        <v>6352482.4121643668</v>
      </c>
      <c r="D15" s="318">
        <f>SUMIF('Project Status'!G:G,'Summary_for Web-1'!A15,'Project Status'!S:S)</f>
        <v>2949437.76</v>
      </c>
      <c r="E15" s="319">
        <f>SUMIF('Project Status'!G:G,'Summary_for Web-1'!A15,'Project Status'!T:T)</f>
        <v>600347.91</v>
      </c>
      <c r="F15" s="320">
        <f>SUMIF('Project Status'!G:G,'Summary_for Web-1'!A15,'Project Status'!U:U)</f>
        <v>0</v>
      </c>
      <c r="G15" s="321">
        <f>SUMIF('Project Status'!G:G,'Summary_for Web-1'!A15,'Project Status'!V:V)</f>
        <v>-161709.56</v>
      </c>
      <c r="H15" s="322">
        <f>C15-D15-E15-F15-G15</f>
        <v>2964406.3021643669</v>
      </c>
      <c r="J15" s="316"/>
      <c r="K15" s="316"/>
      <c r="L15" s="316"/>
      <c r="M15" s="316"/>
    </row>
    <row r="16" spans="1:13" x14ac:dyDescent="0.4">
      <c r="A16" s="252"/>
      <c r="B16" s="252">
        <f>SUM(B6:B15)</f>
        <v>2921546.1791581744</v>
      </c>
      <c r="C16" s="323">
        <f>SUM(C6:C15)</f>
        <v>46514886.405643359</v>
      </c>
      <c r="D16" s="324">
        <f>SUM(D6:D15)</f>
        <v>8797286.2599999998</v>
      </c>
      <c r="E16" s="325">
        <f>SUM(E6:E15)</f>
        <v>11328472.939999999</v>
      </c>
      <c r="F16" s="326">
        <f>SUM(F6:F15)</f>
        <v>10171078.439999999</v>
      </c>
      <c r="G16" s="327">
        <f>SUM(G6:G15)</f>
        <v>4125148.2199999993</v>
      </c>
      <c r="H16" s="328">
        <f>SUM(H6:H15)</f>
        <v>12092900.545643354</v>
      </c>
      <c r="J16" s="316"/>
      <c r="K16" s="316"/>
      <c r="L16" s="316"/>
      <c r="M16" s="316"/>
    </row>
    <row r="17" spans="1:9" x14ac:dyDescent="0.4">
      <c r="A17" s="73"/>
    </row>
    <row r="18" spans="1:9" x14ac:dyDescent="0.4">
      <c r="A18" s="170"/>
      <c r="B18" s="170"/>
      <c r="C18" s="329"/>
      <c r="D18" s="329"/>
      <c r="E18" s="329"/>
      <c r="F18" s="329"/>
      <c r="G18" s="329"/>
      <c r="H18" s="329"/>
      <c r="I18" s="329"/>
    </row>
    <row r="19" spans="1:9" x14ac:dyDescent="0.4">
      <c r="C19" s="257"/>
      <c r="D19" s="257"/>
      <c r="E19" s="257"/>
      <c r="F19" s="257"/>
      <c r="G19" s="257"/>
      <c r="H19" s="257"/>
    </row>
    <row r="20" spans="1:9" x14ac:dyDescent="0.4">
      <c r="D20" s="257"/>
      <c r="E20" s="257"/>
      <c r="F20" s="257"/>
      <c r="G20" s="257"/>
      <c r="H20" s="54"/>
    </row>
    <row r="26" spans="1:9" x14ac:dyDescent="0.4">
      <c r="D26" s="257"/>
      <c r="E26" s="257"/>
      <c r="F26" s="257"/>
      <c r="G26" s="257"/>
    </row>
    <row r="29" spans="1:9" x14ac:dyDescent="0.4">
      <c r="F29" s="257"/>
      <c r="G29" s="257"/>
    </row>
    <row r="31" spans="1:9" x14ac:dyDescent="0.4">
      <c r="F31" s="257"/>
      <c r="G31" s="257"/>
    </row>
    <row r="35" spans="6:7" x14ac:dyDescent="0.4">
      <c r="F35" s="257"/>
      <c r="G35" s="257"/>
    </row>
  </sheetData>
  <sortState xmlns:xlrd2="http://schemas.microsoft.com/office/spreadsheetml/2017/richdata2" ref="J7:J93">
    <sortCondition ref="J7:J93"/>
  </sortState>
  <pageMargins left="0.7" right="0.7" top="0.75" bottom="0.75" header="0.3" footer="0.3"/>
  <pageSetup scale="84" fitToHeight="0" orientation="landscape" horizontalDpi="4294967295" verticalDpi="4294967295"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DDD7D-CD6B-4561-B840-67A69DE644DC}">
  <sheetPr>
    <tabColor theme="1"/>
  </sheetPr>
  <dimension ref="A1:K20"/>
  <sheetViews>
    <sheetView zoomScale="90" zoomScaleNormal="90" workbookViewId="0">
      <selection activeCell="H20" sqref="H20"/>
    </sheetView>
  </sheetViews>
  <sheetFormatPr defaultColWidth="8.15234375" defaultRowHeight="14.6" x14ac:dyDescent="0.4"/>
  <cols>
    <col min="1" max="1" width="8.53515625" bestFit="1" customWidth="1"/>
    <col min="2" max="2" width="6.69140625" bestFit="1" customWidth="1"/>
    <col min="3" max="3" width="11" bestFit="1" customWidth="1"/>
    <col min="4" max="4" width="40.15234375" bestFit="1" customWidth="1"/>
    <col min="5" max="5" width="45.6914062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20566</v>
      </c>
      <c r="B4" s="9">
        <f>VLOOKUP(A4,'Project Status'!C:D,2,FALSE)</f>
        <v>20054</v>
      </c>
      <c r="C4" s="9" t="str">
        <f>VLOOKUP(A4,'Project Status'!C:E,3,FALSE)</f>
        <v>CP_400151</v>
      </c>
      <c r="D4" s="9" t="str">
        <f>VLOOKUP(A4,'Project Status'!C:F,4,FALSE)</f>
        <v>12000 - Arts and Science: Office of the Dean</v>
      </c>
      <c r="E4" s="9" t="str">
        <f>VLOOKUP(A4,'Project Status'!C:I,7,FALSE)</f>
        <v>SC Chemistry (SC7) - Elevator 1 &amp; 2 Modernization</v>
      </c>
      <c r="F4" s="9" t="str">
        <f>VLOOKUP(A4,'Project Status'!C:K,8,FALSE)</f>
        <v>Complete</v>
      </c>
      <c r="G4" s="9" t="str">
        <f>VLOOKUP(A4,'Project Status'!C:L,9,FALSE)</f>
        <v>Finalized</v>
      </c>
      <c r="H4" s="18">
        <f>VLOOKUP(A4,'Project Status'!C:N,11,FALSE)</f>
        <v>781870</v>
      </c>
      <c r="I4" s="35">
        <f>VLOOKUP(A4,'Project Status'!C:O,13,FALSE)</f>
        <v>722586.68</v>
      </c>
    </row>
    <row r="8" spans="1:11" x14ac:dyDescent="0.4">
      <c r="E8" s="19" t="s">
        <v>123</v>
      </c>
    </row>
    <row r="9" spans="1:11" x14ac:dyDescent="0.4">
      <c r="E9" s="11" t="s">
        <v>165</v>
      </c>
      <c r="F9" s="13" t="s">
        <v>138</v>
      </c>
      <c r="H9" s="27">
        <v>17050</v>
      </c>
    </row>
    <row r="10" spans="1:11" x14ac:dyDescent="0.4">
      <c r="E10" s="11" t="s">
        <v>214</v>
      </c>
      <c r="F10" t="s">
        <v>203</v>
      </c>
      <c r="H10" s="21">
        <v>764820</v>
      </c>
    </row>
    <row r="11" spans="1:11" x14ac:dyDescent="0.4">
      <c r="E11" s="11" t="s">
        <v>347</v>
      </c>
      <c r="F11" t="s">
        <v>357</v>
      </c>
      <c r="H11" s="21">
        <v>-59283.32</v>
      </c>
    </row>
    <row r="18" spans="5:8" x14ac:dyDescent="0.4">
      <c r="E18" s="28" t="s">
        <v>250</v>
      </c>
      <c r="F18" s="29"/>
      <c r="G18" s="28"/>
      <c r="H18" s="30">
        <f>SUM(H9:H17)</f>
        <v>722586.68</v>
      </c>
    </row>
    <row r="20" spans="5:8" x14ac:dyDescent="0.4">
      <c r="E20" s="31" t="s">
        <v>135</v>
      </c>
      <c r="F20" s="31"/>
      <c r="G20" s="31"/>
      <c r="H20" s="32">
        <f>I4-H18</f>
        <v>0</v>
      </c>
    </row>
  </sheetData>
  <hyperlinks>
    <hyperlink ref="K1" location="'Project Status'!A1" display="'Project Status'!A1" xr:uid="{9D9D91B3-96ED-43B6-8190-1DB57895DB45}"/>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90861-DF3A-4CB2-ADBB-E60B0AC284CC}">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40.53515625" bestFit="1" customWidth="1"/>
    <col min="5" max="5" width="31.3046875" bestFit="1" customWidth="1"/>
    <col min="6" max="6" width="32.3046875" bestFit="1" customWidth="1"/>
    <col min="7" max="7" width="11.3046875" bestFit="1" customWidth="1"/>
    <col min="8" max="8" width="16.53515625" bestFit="1" customWidth="1"/>
    <col min="9" max="9" width="1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20573</v>
      </c>
      <c r="B4" s="9">
        <f>VLOOKUP(A4,'Project Status'!C:D,2,FALSE)</f>
        <v>8047</v>
      </c>
      <c r="C4" s="9" t="str">
        <f>VLOOKUP(A4,'Project Status'!C:E,3,FALSE)</f>
        <v>CP_400185</v>
      </c>
      <c r="D4" s="9" t="str">
        <f>VLOOKUP(A4,'Project Status'!C:F,4,FALSE)</f>
        <v>21000 - Peabody College: Office of the Dean</v>
      </c>
      <c r="E4" s="9" t="str">
        <f>VLOOKUP(A4,'Project Status'!C:I,7,FALSE)</f>
        <v>Wyatt Center - Roof Replacement</v>
      </c>
      <c r="F4" s="9" t="str">
        <f>VLOOKUP(A4,'Project Status'!C:K,8,FALSE)</f>
        <v>Complete</v>
      </c>
      <c r="G4" s="9" t="str">
        <f>VLOOKUP(A4,'Project Status'!C:L,9,FALSE)</f>
        <v>Finalized</v>
      </c>
      <c r="H4" s="18">
        <f>VLOOKUP(A4,'Project Status'!C:N,11,FALSE)</f>
        <v>1232681</v>
      </c>
      <c r="I4" s="35">
        <f>VLOOKUP(A4,'Project Status'!C:O,13,FALSE)</f>
        <v>1113460</v>
      </c>
    </row>
    <row r="8" spans="1:11" x14ac:dyDescent="0.4">
      <c r="E8" s="19" t="s">
        <v>123</v>
      </c>
    </row>
    <row r="9" spans="1:11" x14ac:dyDescent="0.4">
      <c r="E9" t="s">
        <v>225</v>
      </c>
      <c r="F9" s="13" t="s">
        <v>138</v>
      </c>
      <c r="H9" s="20">
        <v>1232681</v>
      </c>
    </row>
    <row r="10" spans="1:11" x14ac:dyDescent="0.4">
      <c r="E10" s="11" t="s">
        <v>362</v>
      </c>
      <c r="F10" t="s">
        <v>286</v>
      </c>
      <c r="H10" s="20">
        <v>-119221</v>
      </c>
    </row>
    <row r="13" spans="1:11" x14ac:dyDescent="0.4">
      <c r="F13" s="8"/>
      <c r="G13" s="8"/>
      <c r="H13" s="23"/>
    </row>
    <row r="18" spans="5:8" x14ac:dyDescent="0.4">
      <c r="E18" s="28" t="s">
        <v>250</v>
      </c>
      <c r="F18" s="29"/>
      <c r="G18" s="28"/>
      <c r="H18" s="30">
        <f>SUM(H9:H17)</f>
        <v>1113460</v>
      </c>
    </row>
    <row r="20" spans="5:8" x14ac:dyDescent="0.4">
      <c r="E20" s="31" t="s">
        <v>135</v>
      </c>
      <c r="F20" s="31"/>
      <c r="G20" s="31"/>
      <c r="H20" s="32">
        <f>I4-H18</f>
        <v>0</v>
      </c>
    </row>
  </sheetData>
  <hyperlinks>
    <hyperlink ref="K1" location="'Project Status'!A1" display="'Project Status'!A1" xr:uid="{79510245-6057-43AB-81B3-AE76FDEE2F69}"/>
  </hyperlinks>
  <pageMargins left="0.7" right="0.7" top="0.75" bottom="0.75" header="0.3" footer="0.3"/>
  <pageSetup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80EC-A62E-4A3B-A069-FD7D4A09E2F2}">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38.3046875" bestFit="1" customWidth="1"/>
    <col min="5" max="5" width="31" bestFit="1" customWidth="1"/>
    <col min="6" max="6" width="32.3046875" bestFit="1" customWidth="1"/>
    <col min="7" max="7" width="12.3046875" bestFit="1" customWidth="1"/>
    <col min="8" max="8" width="16.53515625" bestFit="1" customWidth="1"/>
    <col min="9" max="9" width="13.304687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20574</v>
      </c>
      <c r="B4" s="9">
        <f>VLOOKUP(A4,'Project Status'!C:D,2,FALSE)</f>
        <v>8145</v>
      </c>
      <c r="C4" s="9" t="str">
        <f>VLOOKUP(A4,'Project Status'!C:E,3,FALSE)</f>
        <v>CP_400164</v>
      </c>
      <c r="D4" s="9" t="str">
        <f>VLOOKUP(A4,'Project Status'!C:F,4,FALSE)</f>
        <v>18200 - Basic Sciences: Office of the Dean</v>
      </c>
      <c r="E4" s="9" t="str">
        <f>VLOOKUP(A4,'Project Status'!C:I,7,FALSE)</f>
        <v>MRB III - Steam Coil Replacement</v>
      </c>
      <c r="F4" s="9" t="str">
        <f>VLOOKUP(A4,'Project Status'!C:K,8,FALSE)</f>
        <v>Complete</v>
      </c>
      <c r="G4" s="9" t="str">
        <f>VLOOKUP(A4,'Project Status'!C:L,9,FALSE)</f>
        <v>Finalized</v>
      </c>
      <c r="H4" s="18">
        <f>VLOOKUP(A4,'Project Status'!C:N,11,FALSE)</f>
        <v>218202</v>
      </c>
      <c r="I4" s="35">
        <f>VLOOKUP(A4,'Project Status'!C:O,13,FALSE)</f>
        <v>195665</v>
      </c>
    </row>
    <row r="8" spans="1:11" x14ac:dyDescent="0.4">
      <c r="E8" s="19" t="s">
        <v>123</v>
      </c>
    </row>
    <row r="9" spans="1:11" x14ac:dyDescent="0.4">
      <c r="E9" s="11" t="s">
        <v>204</v>
      </c>
      <c r="F9" s="13" t="s">
        <v>138</v>
      </c>
      <c r="H9" s="20">
        <v>218202</v>
      </c>
    </row>
    <row r="10" spans="1:11" x14ac:dyDescent="0.4">
      <c r="E10" s="11" t="s">
        <v>362</v>
      </c>
      <c r="F10" t="s">
        <v>286</v>
      </c>
      <c r="H10" s="20">
        <v>-22537</v>
      </c>
    </row>
    <row r="18" spans="5:8" x14ac:dyDescent="0.4">
      <c r="E18" s="28" t="s">
        <v>250</v>
      </c>
      <c r="F18" s="29"/>
      <c r="G18" s="28"/>
      <c r="H18" s="30">
        <f>SUM(H9:H17)</f>
        <v>195665</v>
      </c>
    </row>
    <row r="20" spans="5:8" x14ac:dyDescent="0.4">
      <c r="E20" s="31" t="s">
        <v>135</v>
      </c>
      <c r="F20" s="31"/>
      <c r="G20" s="31"/>
      <c r="H20" s="32">
        <f>I4-H18</f>
        <v>0</v>
      </c>
    </row>
  </sheetData>
  <hyperlinks>
    <hyperlink ref="K1" location="'Project Status'!A1" display="'Project Status'!A1" xr:uid="{CC43B7B6-1C16-4566-88FC-577E36BE5553}"/>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7ED2D-14E0-430C-B146-9132012D749B}">
  <sheetPr>
    <tabColor theme="4"/>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5.3046875" style="39" bestFit="1" customWidth="1"/>
    <col min="3" max="3" width="10.69140625" style="39" bestFit="1" customWidth="1"/>
    <col min="4" max="4" width="28.3828125" style="39" bestFit="1" customWidth="1"/>
    <col min="5" max="5" width="53.84375" style="39" bestFit="1" customWidth="1"/>
    <col min="6" max="6" width="12.15234375" style="39" bestFit="1" customWidth="1"/>
    <col min="7" max="7" width="13.69140625" style="39" bestFit="1" customWidth="1"/>
    <col min="8" max="8" width="16.53515625" style="39" bestFit="1" customWidth="1"/>
    <col min="9" max="9" width="14.6914062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20577</v>
      </c>
      <c r="B4" s="46">
        <f>VLOOKUP(A4,'Project Status'!C:D,2,FALSE)</f>
        <v>8146</v>
      </c>
      <c r="C4" s="46" t="str">
        <f>VLOOKUP(A4,'Project Status'!C:E,3,FALSE)</f>
        <v>CP_400154</v>
      </c>
      <c r="D4" s="46" t="str">
        <f>VLOOKUP(A4,'Project Status'!C:F,4,FALSE)</f>
        <v>13000 - Blair: Office of the Dean</v>
      </c>
      <c r="E4" s="46" t="str">
        <f>VLOOKUP(A4,'Project Status'!C:I,7,FALSE)</f>
        <v>Blair School of Music - AHU - 1 Replacement - Phase 1 - FY25</v>
      </c>
      <c r="F4" s="46" t="str">
        <f>VLOOKUP(A4,'Project Status'!C:K,9,FALSE)</f>
        <v>Construction</v>
      </c>
      <c r="G4" s="46" t="str">
        <f>VLOOKUP(A4,'Project Status'!C:L,10,FALSE)</f>
        <v>Jay Surprenant</v>
      </c>
      <c r="H4" s="47">
        <f>VLOOKUP(A4,'Project Status'!C:N,12,FALSE)</f>
        <v>1300000</v>
      </c>
      <c r="I4" s="48">
        <f>VLOOKUP(A4,'Project Status'!C:Q,15,FALSE)</f>
        <v>1104104.21</v>
      </c>
    </row>
    <row r="8" spans="1:11" x14ac:dyDescent="0.4">
      <c r="E8" s="52" t="s">
        <v>123</v>
      </c>
    </row>
    <row r="9" spans="1:11" x14ac:dyDescent="0.4">
      <c r="E9" s="53" t="s">
        <v>165</v>
      </c>
      <c r="F9" s="60" t="s">
        <v>138</v>
      </c>
      <c r="H9" s="49">
        <v>53750</v>
      </c>
    </row>
    <row r="10" spans="1:11" x14ac:dyDescent="0.4">
      <c r="E10" s="53" t="s">
        <v>219</v>
      </c>
      <c r="F10" s="39" t="s">
        <v>203</v>
      </c>
      <c r="H10" s="54">
        <v>169250</v>
      </c>
    </row>
    <row r="11" spans="1:11" x14ac:dyDescent="0.4">
      <c r="E11" s="53" t="s">
        <v>414</v>
      </c>
      <c r="F11" s="39" t="s">
        <v>303</v>
      </c>
      <c r="H11" s="54">
        <v>1077000</v>
      </c>
    </row>
    <row r="18" spans="5:8" x14ac:dyDescent="0.4">
      <c r="E18" s="64" t="s">
        <v>250</v>
      </c>
      <c r="F18" s="65"/>
      <c r="G18" s="64"/>
      <c r="H18" s="66">
        <f>SUM(H9:H17)</f>
        <v>1300000</v>
      </c>
    </row>
    <row r="20" spans="5:8" x14ac:dyDescent="0.4">
      <c r="E20" s="67" t="s">
        <v>135</v>
      </c>
      <c r="F20" s="67"/>
      <c r="G20" s="67"/>
      <c r="H20" s="68">
        <f>H4-H18</f>
        <v>0</v>
      </c>
    </row>
  </sheetData>
  <hyperlinks>
    <hyperlink ref="K1" location="'Project Status'!A1" display="'Project Status'!A1" xr:uid="{C511261E-C1B4-4F9A-B7F9-781B46E9E53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B78DF-19C3-44A7-90C0-8823F7BBE38D}">
  <sheetPr>
    <tabColor theme="1"/>
  </sheetPr>
  <dimension ref="A1:K20"/>
  <sheetViews>
    <sheetView zoomScale="90" zoomScaleNormal="90" workbookViewId="0">
      <selection activeCell="H20" sqref="H20"/>
    </sheetView>
  </sheetViews>
  <sheetFormatPr defaultColWidth="8.15234375" defaultRowHeight="14.6" x14ac:dyDescent="0.4"/>
  <cols>
    <col min="1" max="1" width="8.53515625" bestFit="1" customWidth="1"/>
    <col min="2" max="2" width="5.53515625" bestFit="1" customWidth="1"/>
    <col min="3" max="3" width="11" bestFit="1" customWidth="1"/>
    <col min="4" max="4" width="40.53515625" bestFit="1" customWidth="1"/>
    <col min="5" max="5" width="40.304687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20644</v>
      </c>
      <c r="B4" s="9">
        <f>VLOOKUP(A4,'Project Status'!C:D,2,FALSE)</f>
        <v>8241</v>
      </c>
      <c r="C4" s="9" t="str">
        <f>VLOOKUP(A4,'Project Status'!C:E,3,FALSE)</f>
        <v>CP_400171</v>
      </c>
      <c r="D4" s="9" t="str">
        <f>VLOOKUP(A4,'Project Status'!C:F,4,FALSE)</f>
        <v>21000 - Peabody College: Office of the Dean</v>
      </c>
      <c r="E4" s="9" t="str">
        <f>VLOOKUP(A4,'Project Status'!C:I,7,FALSE)</f>
        <v>Peabody Administration - Envelope Repairs</v>
      </c>
      <c r="F4" s="9" t="str">
        <f>VLOOKUP(A4,'Project Status'!C:K,8,FALSE)</f>
        <v>Complete</v>
      </c>
      <c r="G4" s="9" t="str">
        <f>VLOOKUP(A4,'Project Status'!C:L,9,FALSE)</f>
        <v>Finalized</v>
      </c>
      <c r="H4" s="25">
        <f>VLOOKUP(A4,'Project Status'!C:N,11,FALSE)</f>
        <v>630554</v>
      </c>
      <c r="I4" s="35">
        <f>VLOOKUP(A4,'Project Status'!C:O,13,FALSE)</f>
        <v>571789</v>
      </c>
    </row>
    <row r="8" spans="1:11" x14ac:dyDescent="0.4">
      <c r="E8" s="19" t="s">
        <v>123</v>
      </c>
    </row>
    <row r="9" spans="1:11" x14ac:dyDescent="0.4">
      <c r="E9" s="11" t="s">
        <v>214</v>
      </c>
      <c r="F9" s="13" t="s">
        <v>138</v>
      </c>
      <c r="H9" s="27">
        <v>2050</v>
      </c>
    </row>
    <row r="10" spans="1:11" x14ac:dyDescent="0.4">
      <c r="E10" s="11" t="s">
        <v>235</v>
      </c>
      <c r="F10" t="s">
        <v>203</v>
      </c>
      <c r="H10" s="20">
        <v>628504</v>
      </c>
    </row>
    <row r="11" spans="1:11" x14ac:dyDescent="0.4">
      <c r="E11" s="11" t="s">
        <v>362</v>
      </c>
      <c r="F11" t="s">
        <v>286</v>
      </c>
      <c r="H11" s="20">
        <v>-58765</v>
      </c>
    </row>
    <row r="18" spans="5:8" x14ac:dyDescent="0.4">
      <c r="E18" s="28" t="s">
        <v>250</v>
      </c>
      <c r="F18" s="29"/>
      <c r="G18" s="28"/>
      <c r="H18" s="30">
        <f>SUM(H9:H17)</f>
        <v>571789</v>
      </c>
    </row>
    <row r="20" spans="5:8" x14ac:dyDescent="0.4">
      <c r="E20" s="31" t="s">
        <v>135</v>
      </c>
      <c r="F20" s="31"/>
      <c r="G20" s="31"/>
      <c r="H20" s="32">
        <f>I4-H18</f>
        <v>0</v>
      </c>
    </row>
  </sheetData>
  <hyperlinks>
    <hyperlink ref="K1" location="'Project Status'!A1" display="'Project Status'!A1" xr:uid="{1A0EC207-3842-436A-A75C-73A6F2FD3FAA}"/>
  </hyperlinks>
  <pageMargins left="0.7" right="0.7" top="0.75" bottom="0.75" header="0.3" footer="0.3"/>
  <pageSetup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B71CB-2649-4F6C-A09D-A759B1CE48B8}">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6.69140625" bestFit="1" customWidth="1"/>
    <col min="4" max="4" width="40.15234375" bestFit="1" customWidth="1"/>
    <col min="5" max="5" width="42.3046875" bestFit="1" customWidth="1"/>
    <col min="6" max="6" width="9" bestFit="1" customWidth="1"/>
    <col min="7" max="7" width="11.3046875" bestFit="1" customWidth="1"/>
    <col min="8" max="8" width="16.53515625" bestFit="1" customWidth="1"/>
    <col min="9" max="9" width="13.304687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20645</v>
      </c>
      <c r="B4" s="9">
        <f>VLOOKUP(A4,'Project Status'!C:D,2,FALSE)</f>
        <v>8239</v>
      </c>
      <c r="C4" s="9">
        <f>VLOOKUP(A4,'Project Status'!C:E,3,FALSE)</f>
        <v>0</v>
      </c>
      <c r="D4" s="9" t="str">
        <f>VLOOKUP(A4,'Project Status'!C:F,4,FALSE)</f>
        <v>12000 - Arts and Science: Office of the Dean</v>
      </c>
      <c r="E4" s="9" t="str">
        <f>VLOOKUP(A4,'Project Status'!C:I,7,FALSE)</f>
        <v>Benson Old Central - Replace Soffit and Doors</v>
      </c>
      <c r="F4" s="9" t="str">
        <f>VLOOKUP(A4,'Project Status'!C:K,8,FALSE)</f>
        <v>Complete</v>
      </c>
      <c r="G4" s="9" t="str">
        <f>VLOOKUP(A4,'Project Status'!C:L,9,FALSE)</f>
        <v>Finalized</v>
      </c>
      <c r="H4" s="18">
        <f>VLOOKUP(A4,'Project Status'!C:N,11,FALSE)</f>
        <v>125875</v>
      </c>
      <c r="I4" s="35">
        <f>VLOOKUP(A4,'Project Status'!C:O,13,FALSE)</f>
        <v>114350</v>
      </c>
    </row>
    <row r="8" spans="1:11" x14ac:dyDescent="0.4">
      <c r="E8" s="19" t="s">
        <v>123</v>
      </c>
    </row>
    <row r="9" spans="1:11" x14ac:dyDescent="0.4">
      <c r="E9" t="s">
        <v>261</v>
      </c>
      <c r="F9" s="13" t="s">
        <v>138</v>
      </c>
      <c r="H9" s="20">
        <v>125875</v>
      </c>
    </row>
    <row r="10" spans="1:11" x14ac:dyDescent="0.4">
      <c r="E10" t="s">
        <v>370</v>
      </c>
      <c r="F10" t="s">
        <v>286</v>
      </c>
      <c r="H10" s="20">
        <v>-11525</v>
      </c>
    </row>
    <row r="13" spans="1:11" x14ac:dyDescent="0.4">
      <c r="F13" s="8"/>
      <c r="G13" s="8"/>
      <c r="H13" s="23"/>
    </row>
    <row r="18" spans="5:8" x14ac:dyDescent="0.4">
      <c r="E18" s="28" t="s">
        <v>250</v>
      </c>
      <c r="F18" s="29"/>
      <c r="G18" s="28"/>
      <c r="H18" s="30">
        <f>SUM(H9:H17)</f>
        <v>114350</v>
      </c>
    </row>
    <row r="20" spans="5:8" x14ac:dyDescent="0.4">
      <c r="E20" s="31" t="s">
        <v>135</v>
      </c>
      <c r="F20" s="31"/>
      <c r="G20" s="31"/>
      <c r="H20" s="32">
        <f>I4-H18</f>
        <v>0</v>
      </c>
    </row>
  </sheetData>
  <hyperlinks>
    <hyperlink ref="K1" location="'Project Status'!A1" display="'Project Status'!A1" xr:uid="{A5FAC7C1-1127-4CE7-9C4D-289D5BC5630E}"/>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F67D-0DE5-4AC2-85BD-D299DBA283BB}">
  <sheetPr>
    <tabColor theme="4"/>
  </sheetPr>
  <dimension ref="A1:K21"/>
  <sheetViews>
    <sheetView topLeftCell="A2" zoomScale="90" zoomScaleNormal="90" workbookViewId="0">
      <selection activeCell="H21" sqref="H21"/>
    </sheetView>
  </sheetViews>
  <sheetFormatPr defaultColWidth="9.3046875" defaultRowHeight="14.6" x14ac:dyDescent="0.4"/>
  <cols>
    <col min="1" max="1" width="8.3828125" style="39" bestFit="1" customWidth="1"/>
    <col min="2" max="2" width="5.3046875" style="39" bestFit="1" customWidth="1"/>
    <col min="3" max="3" width="10.69140625" style="39" bestFit="1" customWidth="1"/>
    <col min="4" max="4" width="34.69140625" style="39" bestFit="1" customWidth="1"/>
    <col min="5" max="5" width="49.84375" style="39" bestFit="1" customWidth="1"/>
    <col min="6" max="6" width="12.15234375" style="39" bestFit="1" customWidth="1"/>
    <col min="7" max="7" width="11.69140625" style="39" bestFit="1" customWidth="1"/>
    <col min="8" max="8" width="16.53515625" style="39" bestFit="1" customWidth="1"/>
    <col min="9" max="9" width="14.69140625" style="39" bestFit="1" customWidth="1"/>
    <col min="10" max="10" width="9.3046875" style="39"/>
    <col min="11" max="11" width="16.3046875" style="39" bestFit="1" customWidth="1"/>
    <col min="12" max="16384" width="9.3046875" style="39"/>
  </cols>
  <sheetData>
    <row r="1" spans="1:11" x14ac:dyDescent="0.4">
      <c r="K1" s="40" t="s">
        <v>254</v>
      </c>
    </row>
    <row r="2" spans="1:11" x14ac:dyDescent="0.4">
      <c r="K2" s="40" t="s">
        <v>254</v>
      </c>
    </row>
    <row r="3" spans="1:11" x14ac:dyDescent="0.4">
      <c r="K3" s="40"/>
    </row>
    <row r="4" spans="1:11" x14ac:dyDescent="0.4">
      <c r="A4" s="41" t="s">
        <v>124</v>
      </c>
      <c r="B4" s="42" t="s">
        <v>125</v>
      </c>
      <c r="C4" s="41" t="s">
        <v>126</v>
      </c>
      <c r="D4" s="43" t="s">
        <v>86</v>
      </c>
      <c r="E4" s="43" t="s">
        <v>87</v>
      </c>
      <c r="F4" s="41" t="s">
        <v>127</v>
      </c>
      <c r="G4" s="41" t="s">
        <v>128</v>
      </c>
      <c r="H4" s="44" t="s">
        <v>129</v>
      </c>
      <c r="I4" s="45" t="s">
        <v>284</v>
      </c>
    </row>
    <row r="5" spans="1:11" x14ac:dyDescent="0.4">
      <c r="A5" s="46">
        <v>20667</v>
      </c>
      <c r="B5" s="46">
        <f>VLOOKUP(A5,'Project Status'!C:D,2,FALSE)</f>
        <v>8168</v>
      </c>
      <c r="C5" s="46" t="str">
        <f>VLOOKUP(A5,'Project Status'!C:E,3,FALSE)</f>
        <v>CP_400160</v>
      </c>
      <c r="D5" s="46" t="str">
        <f>VLOOKUP(A5,'Project Status'!C:F,4,FALSE)</f>
        <v>15000 - Engineering: Office of the Dean</v>
      </c>
      <c r="E5" s="46" t="str">
        <f>VLOOKUP(A5,'Project Status'!C:I,7,FALSE)</f>
        <v>1025 16th Avenue - Mechanical and Electrical Upgrades</v>
      </c>
      <c r="F5" s="46" t="str">
        <f>VLOOKUP(A5,'Project Status'!C:K,9,FALSE)</f>
        <v>Construction</v>
      </c>
      <c r="G5" s="46" t="str">
        <f>VLOOKUP(A5,'Project Status'!C:L,10,FALSE)</f>
        <v>Kylie Mignoli</v>
      </c>
      <c r="H5" s="47">
        <f>VLOOKUP(A5,'Project Status'!C:N,12,FALSE)</f>
        <v>1545360</v>
      </c>
      <c r="I5" s="48">
        <f>VLOOKUP(A5,'Project Status'!C:Q,15,FALSE)</f>
        <v>1384276.78</v>
      </c>
    </row>
    <row r="9" spans="1:11" x14ac:dyDescent="0.4">
      <c r="E9" s="52" t="s">
        <v>123</v>
      </c>
    </row>
    <row r="10" spans="1:11" x14ac:dyDescent="0.4">
      <c r="E10" s="53" t="s">
        <v>172</v>
      </c>
      <c r="F10" s="60" t="s">
        <v>138</v>
      </c>
      <c r="H10" s="49">
        <v>135000</v>
      </c>
    </row>
    <row r="11" spans="1:11" x14ac:dyDescent="0.4">
      <c r="E11" s="53" t="s">
        <v>219</v>
      </c>
      <c r="F11" s="39" t="s">
        <v>145</v>
      </c>
      <c r="H11" s="54">
        <v>11500</v>
      </c>
    </row>
    <row r="12" spans="1:11" x14ac:dyDescent="0.4">
      <c r="E12" s="53" t="s">
        <v>425</v>
      </c>
      <c r="F12" s="39" t="s">
        <v>303</v>
      </c>
      <c r="H12" s="49">
        <v>1398860</v>
      </c>
    </row>
    <row r="19" spans="5:8" x14ac:dyDescent="0.4">
      <c r="E19" s="64" t="s">
        <v>250</v>
      </c>
      <c r="F19" s="65"/>
      <c r="G19" s="64"/>
      <c r="H19" s="66">
        <f>SUM(H10:H18)</f>
        <v>1545360</v>
      </c>
    </row>
    <row r="21" spans="5:8" x14ac:dyDescent="0.4">
      <c r="E21" s="67" t="s">
        <v>135</v>
      </c>
      <c r="F21" s="67"/>
      <c r="G21" s="67"/>
      <c r="H21" s="68">
        <f>H5-H19</f>
        <v>0</v>
      </c>
    </row>
  </sheetData>
  <hyperlinks>
    <hyperlink ref="K1" location="'Project Status'!A1" display="'Project Status'!A1" xr:uid="{F348F888-B7DA-42CA-B30E-EA2EAF1EAB04}"/>
    <hyperlink ref="K2" location="'Project Status'!A1" display="'Project Status'!A1" xr:uid="{348844E9-6A4E-403B-AEF5-C55422D77193}"/>
  </hyperlinks>
  <pageMargins left="0.7" right="0.7" top="0.75" bottom="0.75" header="0.3" footer="0.3"/>
  <pageSetup paperSize="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F6E94-A1A9-44FA-851E-DFCC2489C23D}">
  <sheetPr>
    <tabColor theme="4"/>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5.3046875" style="39" bestFit="1" customWidth="1"/>
    <col min="3" max="3" width="10.69140625" style="39" bestFit="1" customWidth="1"/>
    <col min="4" max="4" width="34.69140625" style="39" bestFit="1" customWidth="1"/>
    <col min="5" max="5" width="29.69140625" style="39" bestFit="1" customWidth="1"/>
    <col min="6" max="6" width="6.84375" style="39" bestFit="1" customWidth="1"/>
    <col min="7" max="7" width="12.15234375" style="39" bestFit="1" customWidth="1"/>
    <col min="8" max="8" width="16.53515625" style="39" bestFit="1" customWidth="1"/>
    <col min="9" max="9" width="12.8437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20668</v>
      </c>
      <c r="B4" s="46">
        <f>VLOOKUP(A4,'Project Status'!C:D,2,FALSE)</f>
        <v>8151</v>
      </c>
      <c r="C4" s="46" t="str">
        <f>VLOOKUP(A4,'Project Status'!C:E,3,FALSE)</f>
        <v>CP_400163</v>
      </c>
      <c r="D4" s="46" t="str">
        <f>VLOOKUP(A4,'Project Status'!C:F,4,FALSE)</f>
        <v>15000 - Engineering: Office of the Dean</v>
      </c>
      <c r="E4" s="46" t="str">
        <f>VLOOKUP(A4,'Project Status'!C:I,7,FALSE)</f>
        <v>Keck FEL - Mechanical Upgrades</v>
      </c>
      <c r="F4" s="46" t="str">
        <f>VLOOKUP(A4,'Project Status'!C:K,9,FALSE)</f>
        <v>Design</v>
      </c>
      <c r="G4" s="46" t="str">
        <f>VLOOKUP(A4,'Project Status'!C:L,10,FALSE)</f>
        <v>Sean Rewers</v>
      </c>
      <c r="H4" s="47">
        <f>VLOOKUP(A4,'Project Status'!C:N,12,FALSE)</f>
        <v>231433</v>
      </c>
      <c r="I4" s="48">
        <f>VLOOKUP(A4,'Project Status'!C:Q,15,FALSE)</f>
        <v>116143</v>
      </c>
    </row>
    <row r="8" spans="1:11" x14ac:dyDescent="0.4">
      <c r="E8" s="52" t="s">
        <v>123</v>
      </c>
    </row>
    <row r="9" spans="1:11" x14ac:dyDescent="0.4">
      <c r="E9" s="53" t="s">
        <v>204</v>
      </c>
      <c r="F9" s="60" t="s">
        <v>138</v>
      </c>
      <c r="H9" s="49">
        <v>195000</v>
      </c>
    </row>
    <row r="10" spans="1:11" x14ac:dyDescent="0.4">
      <c r="E10" s="53" t="s">
        <v>219</v>
      </c>
      <c r="F10" s="39" t="s">
        <v>145</v>
      </c>
      <c r="H10" s="49">
        <v>11500</v>
      </c>
    </row>
    <row r="11" spans="1:11" x14ac:dyDescent="0.4">
      <c r="E11" s="53" t="s">
        <v>315</v>
      </c>
      <c r="F11" s="39" t="s">
        <v>303</v>
      </c>
      <c r="H11" s="49">
        <v>24933</v>
      </c>
    </row>
    <row r="12" spans="1:11" x14ac:dyDescent="0.4">
      <c r="H12" s="49"/>
    </row>
    <row r="13" spans="1:11" x14ac:dyDescent="0.4">
      <c r="H13" s="49"/>
    </row>
    <row r="14" spans="1:11" x14ac:dyDescent="0.4">
      <c r="H14" s="49"/>
    </row>
    <row r="15" spans="1:11" x14ac:dyDescent="0.4">
      <c r="H15" s="49"/>
    </row>
    <row r="16" spans="1:11" x14ac:dyDescent="0.4">
      <c r="H16" s="49"/>
    </row>
    <row r="17" spans="5:8" x14ac:dyDescent="0.4">
      <c r="H17" s="49"/>
    </row>
    <row r="18" spans="5:8" x14ac:dyDescent="0.4">
      <c r="E18" s="64" t="s">
        <v>250</v>
      </c>
      <c r="F18" s="65"/>
      <c r="G18" s="64"/>
      <c r="H18" s="66">
        <f>SUM(H9:H17)</f>
        <v>231433</v>
      </c>
    </row>
    <row r="20" spans="5:8" x14ac:dyDescent="0.4">
      <c r="E20" s="67" t="s">
        <v>135</v>
      </c>
      <c r="F20" s="67"/>
      <c r="G20" s="67"/>
      <c r="H20" s="68">
        <f>H4-H18</f>
        <v>0</v>
      </c>
    </row>
  </sheetData>
  <hyperlinks>
    <hyperlink ref="K1" location="'Project Status'!A1" display="'Project Status'!A1" xr:uid="{73ABE9C2-583B-4191-9767-E1B32BE198A1}"/>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35E94-51EE-4CD2-B39B-606B98650133}">
  <sheetPr>
    <tabColor theme="1"/>
  </sheetPr>
  <dimension ref="A1:K20"/>
  <sheetViews>
    <sheetView zoomScale="90" zoomScaleNormal="90" workbookViewId="0">
      <selection activeCell="C81" sqref="C81"/>
    </sheetView>
  </sheetViews>
  <sheetFormatPr defaultRowHeight="14.6" x14ac:dyDescent="0.4"/>
  <cols>
    <col min="1" max="1" width="7.84375" bestFit="1" customWidth="1"/>
    <col min="2" max="2" width="5.3046875" bestFit="1" customWidth="1"/>
    <col min="3" max="3" width="10.3046875" bestFit="1" customWidth="1"/>
    <col min="4" max="4" width="37.69140625" bestFit="1" customWidth="1"/>
    <col min="5" max="5" width="32.53515625" bestFit="1" customWidth="1"/>
    <col min="6" max="6" width="16.53515625" bestFit="1" customWidth="1"/>
    <col min="7" max="7" width="11.3046875" bestFit="1" customWidth="1"/>
    <col min="8" max="9" width="16.53515625" customWidth="1"/>
    <col min="11" max="11" width="15.6914062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20698</v>
      </c>
      <c r="B4" s="9">
        <f>VLOOKUP(A4,'Project Status'!C:D,2,FALSE)</f>
        <v>1138</v>
      </c>
      <c r="C4" s="9" t="str">
        <f>VLOOKUP(A4,'Project Status'!C:E,3,FALSE)</f>
        <v>CP_400168</v>
      </c>
      <c r="D4" s="9" t="str">
        <f>VLOOKUP(A4,'Project Status'!C:F,4,FALSE)</f>
        <v>12000 - Arts and Science: Office of the Dean</v>
      </c>
      <c r="E4" s="9" t="str">
        <f>VLOOKUP(A4,'Project Status'!C:I,7,FALSE)</f>
        <v>Wilson Hall - Fire Alarm Replacement</v>
      </c>
      <c r="F4" s="9" t="str">
        <f>VLOOKUP(A4,'Project Status'!C:K,9,FALSE)</f>
        <v>Finalized</v>
      </c>
      <c r="G4" s="9" t="str">
        <f>VLOOKUP(A4,'Project Status'!C:L,10,FALSE)</f>
        <v>Sean Rewers</v>
      </c>
      <c r="H4" s="25">
        <f>VLOOKUP(A4,'Project Status'!C:N,12,FALSE)</f>
        <v>678513</v>
      </c>
      <c r="I4" s="35">
        <f>VLOOKUP(A4,'Project Status'!C:Q,15,FALSE)</f>
        <v>586776.36</v>
      </c>
    </row>
    <row r="8" spans="1:11" x14ac:dyDescent="0.4">
      <c r="E8" s="19" t="s">
        <v>123</v>
      </c>
    </row>
    <row r="9" spans="1:11" x14ac:dyDescent="0.4">
      <c r="E9" s="11" t="s">
        <v>204</v>
      </c>
      <c r="F9" s="13" t="s">
        <v>138</v>
      </c>
      <c r="H9" s="20">
        <v>24500</v>
      </c>
    </row>
    <row r="10" spans="1:11" x14ac:dyDescent="0.4">
      <c r="E10" s="11" t="s">
        <v>204</v>
      </c>
      <c r="F10" t="s">
        <v>203</v>
      </c>
      <c r="H10" s="20">
        <v>450</v>
      </c>
    </row>
    <row r="11" spans="1:11" x14ac:dyDescent="0.4">
      <c r="E11" s="11" t="s">
        <v>261</v>
      </c>
      <c r="F11" t="s">
        <v>145</v>
      </c>
      <c r="H11" s="20">
        <v>4300</v>
      </c>
    </row>
    <row r="12" spans="1:11" x14ac:dyDescent="0.4">
      <c r="E12" s="11" t="s">
        <v>331</v>
      </c>
      <c r="F12" t="s">
        <v>303</v>
      </c>
      <c r="G12" t="s">
        <v>330</v>
      </c>
      <c r="H12" s="20">
        <v>649263</v>
      </c>
    </row>
    <row r="13" spans="1:11" x14ac:dyDescent="0.4">
      <c r="E13" s="11" t="s">
        <v>609</v>
      </c>
      <c r="F13" t="s">
        <v>286</v>
      </c>
      <c r="H13" s="20">
        <v>-91736.639999999999</v>
      </c>
    </row>
    <row r="18" spans="5:8" x14ac:dyDescent="0.4">
      <c r="E18" s="28" t="s">
        <v>250</v>
      </c>
      <c r="F18" s="29"/>
      <c r="G18" s="28"/>
      <c r="H18" s="30">
        <f>SUM(H9:H17)</f>
        <v>586776.36</v>
      </c>
    </row>
    <row r="20" spans="5:8" x14ac:dyDescent="0.4">
      <c r="E20" s="31" t="s">
        <v>135</v>
      </c>
      <c r="F20" s="31"/>
      <c r="G20" s="31"/>
      <c r="H20" s="32">
        <f>I4-H18</f>
        <v>0</v>
      </c>
    </row>
  </sheetData>
  <hyperlinks>
    <hyperlink ref="K1" location="'Project Status'!A1" display="'Project Status'!A1" xr:uid="{E7834D54-DAF7-45D2-9A68-536A70719D85}"/>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357-549C-4FEC-8BC9-4BF6B7556E12}">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4.69140625" bestFit="1" customWidth="1"/>
    <col min="3" max="3" width="6.69140625" bestFit="1" customWidth="1"/>
    <col min="4" max="4" width="40.15234375" bestFit="1" customWidth="1"/>
    <col min="5" max="5" width="64.3046875" bestFit="1" customWidth="1"/>
    <col min="6" max="6" width="17.53515625" bestFit="1" customWidth="1"/>
    <col min="7" max="7" width="12.3046875" bestFit="1" customWidth="1"/>
    <col min="8" max="8" width="16.53515625" bestFit="1" customWidth="1"/>
    <col min="9" max="9" width="12.1523437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20700</v>
      </c>
      <c r="B4" s="9">
        <f>VLOOKUP(A4,'Project Status'!C:D,2,FALSE)</f>
        <v>851</v>
      </c>
      <c r="C4" s="9">
        <f>VLOOKUP(A4,'Project Status'!C:E,3,FALSE)</f>
        <v>0</v>
      </c>
      <c r="D4" s="9" t="str">
        <f>VLOOKUP(A4,'Project Status'!C:F,4,FALSE)</f>
        <v>12000 - Arts and Science: Office of the Dean</v>
      </c>
      <c r="E4" s="9" t="str">
        <f>VLOOKUP(A4,'Project Status'!C:I,7,FALSE)</f>
        <v>SC-7 Chemistry - SG-1 Removal and Connection to Central Plant Steam</v>
      </c>
      <c r="F4" s="9" t="str">
        <f>VLOOKUP(A4,'Project Status'!C:K,8,FALSE)</f>
        <v>Complete</v>
      </c>
      <c r="G4" s="9" t="str">
        <f>VLOOKUP(A4,'Project Status'!C:L,9,FALSE)</f>
        <v>Finalized</v>
      </c>
      <c r="H4" s="25">
        <f>VLOOKUP(A4,'Project Status'!C:N,11,FALSE)</f>
        <v>80000</v>
      </c>
      <c r="I4" s="35">
        <f>VLOOKUP(A4,'Project Status'!C:O,13,FALSE)</f>
        <v>85576.77</v>
      </c>
    </row>
    <row r="8" spans="1:11" x14ac:dyDescent="0.4">
      <c r="E8" s="19" t="s">
        <v>123</v>
      </c>
    </row>
    <row r="9" spans="1:11" x14ac:dyDescent="0.4">
      <c r="E9" s="11" t="s">
        <v>214</v>
      </c>
      <c r="F9" s="13" t="s">
        <v>138</v>
      </c>
      <c r="H9" s="27">
        <v>2500</v>
      </c>
    </row>
    <row r="10" spans="1:11" x14ac:dyDescent="0.4">
      <c r="E10" s="11" t="s">
        <v>235</v>
      </c>
      <c r="F10" t="s">
        <v>138</v>
      </c>
      <c r="H10" s="20">
        <v>77123</v>
      </c>
    </row>
    <row r="11" spans="1:11" x14ac:dyDescent="0.4">
      <c r="E11" s="11" t="s">
        <v>304</v>
      </c>
      <c r="F11" t="s">
        <v>171</v>
      </c>
      <c r="H11" s="20">
        <v>5954</v>
      </c>
    </row>
    <row r="18" spans="5:8" x14ac:dyDescent="0.4">
      <c r="E18" s="28" t="s">
        <v>250</v>
      </c>
      <c r="F18" s="29"/>
      <c r="G18" s="28"/>
      <c r="H18" s="30">
        <f>SUM(H9:H17)</f>
        <v>85577</v>
      </c>
    </row>
    <row r="20" spans="5:8" x14ac:dyDescent="0.4">
      <c r="E20" s="31" t="s">
        <v>135</v>
      </c>
      <c r="F20" s="31"/>
      <c r="G20" s="31"/>
      <c r="H20" s="32">
        <f>I4-H18</f>
        <v>-0.22999999999592546</v>
      </c>
    </row>
  </sheetData>
  <hyperlinks>
    <hyperlink ref="K1" location="'Project Status'!A1" display="'Project Status'!A1" xr:uid="{5C3C34A0-1189-4174-89EA-A505915DF0C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DEEA9-06D6-4136-BE20-C66EFABB8436}">
  <sheetPr>
    <tabColor theme="0" tint="-0.499984740745262"/>
    <pageSetUpPr fitToPage="1"/>
  </sheetPr>
  <dimension ref="A1:L94"/>
  <sheetViews>
    <sheetView zoomScaleNormal="100" workbookViewId="0">
      <pane ySplit="5" topLeftCell="A76" activePane="bottomLeft" state="frozen"/>
      <selection activeCell="B2" sqref="B2"/>
      <selection pane="bottomLeft" activeCell="B2" sqref="B2"/>
    </sheetView>
  </sheetViews>
  <sheetFormatPr defaultColWidth="9.3046875" defaultRowHeight="14.6" x14ac:dyDescent="0.4"/>
  <cols>
    <col min="1" max="1" width="3.3046875" style="39" bestFit="1" customWidth="1"/>
    <col min="2" max="2" width="17.3046875" style="39" customWidth="1"/>
    <col min="3" max="3" width="9.69140625" style="39" customWidth="1"/>
    <col min="4" max="4" width="19.53515625" style="39" customWidth="1"/>
    <col min="5" max="5" width="65.84375" style="39" bestFit="1" customWidth="1"/>
    <col min="6" max="10" width="12.69140625" style="49" customWidth="1"/>
    <col min="11" max="16384" width="9.3046875" style="39"/>
  </cols>
  <sheetData>
    <row r="1" spans="1:10" s="241" customFormat="1" x14ac:dyDescent="0.4">
      <c r="B1" s="56" t="s">
        <v>626</v>
      </c>
      <c r="D1" s="56"/>
      <c r="F1" s="275"/>
      <c r="G1" s="275"/>
      <c r="H1" s="275"/>
      <c r="I1" s="275"/>
      <c r="J1" s="275"/>
    </row>
    <row r="2" spans="1:10" s="241" customFormat="1" x14ac:dyDescent="0.4">
      <c r="B2" s="276" t="s">
        <v>111</v>
      </c>
      <c r="C2" s="277">
        <f>'Summary_for Web-1'!B2</f>
        <v>46036</v>
      </c>
      <c r="D2" s="60"/>
      <c r="F2" s="275"/>
      <c r="G2" s="275"/>
      <c r="H2" s="275"/>
      <c r="I2" s="275"/>
      <c r="J2" s="275"/>
    </row>
    <row r="4" spans="1:10" ht="16.3" x14ac:dyDescent="0.4">
      <c r="B4" s="56" t="s">
        <v>112</v>
      </c>
      <c r="C4" s="56"/>
      <c r="D4" s="56"/>
      <c r="F4" s="278" t="s">
        <v>167</v>
      </c>
      <c r="G4" s="278" t="s">
        <v>168</v>
      </c>
      <c r="H4" s="278" t="s">
        <v>168</v>
      </c>
      <c r="I4" s="278" t="s">
        <v>168</v>
      </c>
      <c r="J4" s="278" t="s">
        <v>168</v>
      </c>
    </row>
    <row r="5" spans="1:10" ht="29.15" x14ac:dyDescent="0.4">
      <c r="B5" s="279" t="s">
        <v>440</v>
      </c>
      <c r="C5" s="280" t="s">
        <v>577</v>
      </c>
      <c r="D5" s="279" t="s">
        <v>86</v>
      </c>
      <c r="E5" s="243" t="s">
        <v>166</v>
      </c>
      <c r="F5" s="281" t="s">
        <v>213</v>
      </c>
      <c r="G5" s="282" t="s">
        <v>308</v>
      </c>
      <c r="H5" s="283" t="s">
        <v>394</v>
      </c>
      <c r="I5" s="284" t="s">
        <v>395</v>
      </c>
      <c r="J5" s="285" t="s">
        <v>576</v>
      </c>
    </row>
    <row r="6" spans="1:10" x14ac:dyDescent="0.4">
      <c r="A6" s="166">
        <v>1</v>
      </c>
      <c r="B6" s="39" t="str">
        <f>VLOOKUP(C6,'Project Status'!C:K,8,FALSE)</f>
        <v>Complete</v>
      </c>
      <c r="C6" s="72">
        <v>10085</v>
      </c>
      <c r="D6" s="73" t="str">
        <f>VLOOKUP(C6,'Project Status'!C:G,5,FALSE)</f>
        <v>Peabody</v>
      </c>
      <c r="E6" s="39" t="str">
        <f>VLOOKUP(C6,'Project Status'!C:I,7,FALSE)</f>
        <v>One Magnolia Circle - Modify/Upgrade Electrical and Grounding</v>
      </c>
      <c r="F6" s="286">
        <f>IF(B6="Complete",SUM(G6:J6),VLOOKUP(C6,'Project Status'!C:M,11,FALSE))</f>
        <v>17500</v>
      </c>
      <c r="G6" s="287">
        <f>VLOOKUP(C6,'Project Status'!C:S,17,FALSE)</f>
        <v>17500</v>
      </c>
      <c r="H6" s="288">
        <f>VLOOKUP(C6,'Project Status'!C:T,18,FALSE)</f>
        <v>0</v>
      </c>
      <c r="I6" s="289">
        <f>VLOOKUP(C6,'Project Status'!C:U,19,FALSE)</f>
        <v>0</v>
      </c>
      <c r="J6" s="290">
        <f>VLOOKUP(C6,'Project Status'!C:X,20,FALSE)</f>
        <v>0</v>
      </c>
    </row>
    <row r="7" spans="1:10" x14ac:dyDescent="0.4">
      <c r="A7" s="166">
        <f>A6+1</f>
        <v>2</v>
      </c>
      <c r="B7" s="39" t="str">
        <f>VLOOKUP(C7,'Project Status'!C:K,8,FALSE)</f>
        <v>Complete</v>
      </c>
      <c r="C7" s="72">
        <v>10098</v>
      </c>
      <c r="D7" s="73" t="str">
        <f>VLOOKUP(C7,'Project Status'!C:G,5,FALSE)</f>
        <v>School of Medicine</v>
      </c>
      <c r="E7" s="39" t="str">
        <f>VLOOKUP(C7,'Project Status'!C:I,7,FALSE)</f>
        <v>MRB III - 4th Floor - Replace Controls (Phase 2)</v>
      </c>
      <c r="F7" s="291">
        <f>IF(B7="Complete",SUM(G7:J7),VLOOKUP(C7,'Project Status'!C:M,11,FALSE))</f>
        <v>1212084.54</v>
      </c>
      <c r="G7" s="292">
        <f>VLOOKUP(C7,'Project Status'!C:S,17,FALSE)</f>
        <v>1216485.5</v>
      </c>
      <c r="H7" s="293">
        <f>VLOOKUP(C7,'Project Status'!C:T,18,FALSE)</f>
        <v>-4400.96</v>
      </c>
      <c r="I7" s="294">
        <f>VLOOKUP(C7,'Project Status'!C:U,19,FALSE)</f>
        <v>0</v>
      </c>
      <c r="J7" s="295">
        <f>VLOOKUP(C7,'Project Status'!C:X,20,FALSE)</f>
        <v>0</v>
      </c>
    </row>
    <row r="8" spans="1:10" x14ac:dyDescent="0.4">
      <c r="A8" s="166">
        <f t="shared" ref="A8:A71" si="0">A7+1</f>
        <v>3</v>
      </c>
      <c r="B8" s="39" t="str">
        <f>VLOOKUP(C8,'Project Status'!C:K,8,FALSE)</f>
        <v>Complete</v>
      </c>
      <c r="C8" s="72">
        <v>10146</v>
      </c>
      <c r="D8" s="73" t="str">
        <f>VLOOKUP(C8,'Project Status'!C:G,5,FALSE)</f>
        <v>School of Nursing</v>
      </c>
      <c r="E8" s="39" t="str">
        <f>VLOOKUP(C8,'Project Status'!C:I,7,FALSE)</f>
        <v>Godchaux Hall - HVAC Upgrade</v>
      </c>
      <c r="F8" s="291">
        <f>IF(B8="Complete",SUM(G8:J8),VLOOKUP(C8,'Project Status'!C:M,11,FALSE))</f>
        <v>196626.81</v>
      </c>
      <c r="G8" s="292">
        <f>VLOOKUP(C8,'Project Status'!C:S,17,FALSE)</f>
        <v>4900</v>
      </c>
      <c r="H8" s="293">
        <f>VLOOKUP(C8,'Project Status'!C:T,18,FALSE)</f>
        <v>255957</v>
      </c>
      <c r="I8" s="294">
        <f>VLOOKUP(C8,'Project Status'!C:U,19,FALSE)</f>
        <v>0</v>
      </c>
      <c r="J8" s="295">
        <f>VLOOKUP(C8,'Project Status'!C:X,20,FALSE)</f>
        <v>-64230.19</v>
      </c>
    </row>
    <row r="9" spans="1:10" x14ac:dyDescent="0.4">
      <c r="A9" s="166">
        <f t="shared" si="0"/>
        <v>4</v>
      </c>
      <c r="B9" s="39" t="str">
        <f>VLOOKUP(C9,'Project Status'!C:K,8,FALSE)</f>
        <v>Complete</v>
      </c>
      <c r="C9" s="72">
        <v>20179</v>
      </c>
      <c r="D9" s="73" t="str">
        <f>VLOOKUP(C9,'Project Status'!C:G,5,FALSE)</f>
        <v>Law</v>
      </c>
      <c r="E9" s="39" t="str">
        <f>VLOOKUP(C9,'Project Status'!C:I,7,FALSE)</f>
        <v>Law School - Fire Alarm System Replacement</v>
      </c>
      <c r="F9" s="291">
        <f>IF(B9="Complete",SUM(G9:J9),VLOOKUP(C9,'Project Status'!C:M,11,FALSE))</f>
        <v>629728.64</v>
      </c>
      <c r="G9" s="292">
        <f>VLOOKUP(C9,'Project Status'!C:S,17,FALSE)</f>
        <v>722694.5</v>
      </c>
      <c r="H9" s="293">
        <f>VLOOKUP(C9,'Project Status'!C:T,18,FALSE)</f>
        <v>0</v>
      </c>
      <c r="I9" s="294">
        <f>VLOOKUP(C9,'Project Status'!C:U,19,FALSE)</f>
        <v>-92965.86</v>
      </c>
      <c r="J9" s="295">
        <f>VLOOKUP(C9,'Project Status'!C:X,20,FALSE)</f>
        <v>0</v>
      </c>
    </row>
    <row r="10" spans="1:10" x14ac:dyDescent="0.4">
      <c r="A10" s="166">
        <f t="shared" si="0"/>
        <v>5</v>
      </c>
      <c r="B10" s="39" t="str">
        <f>VLOOKUP(C10,'Project Status'!C:K,8,FALSE)</f>
        <v>Complete</v>
      </c>
      <c r="C10" s="72">
        <v>20336</v>
      </c>
      <c r="D10" s="73" t="str">
        <f>VLOOKUP(C10,'Project Status'!C:G,5,FALSE)</f>
        <v>Blair</v>
      </c>
      <c r="E10" s="39" t="str">
        <f>VLOOKUP(C10,'Project Status'!C:I,7,FALSE)</f>
        <v>Blair School of Music - Elevator #3 Modernization</v>
      </c>
      <c r="F10" s="291">
        <f>IF(B10="Complete",SUM(G10:J10),VLOOKUP(C10,'Project Status'!C:M,11,FALSE))</f>
        <v>280600</v>
      </c>
      <c r="G10" s="292">
        <f>VLOOKUP(C10,'Project Status'!C:S,17,FALSE)</f>
        <v>327890</v>
      </c>
      <c r="H10" s="293">
        <f>VLOOKUP(C10,'Project Status'!C:T,18,FALSE)</f>
        <v>-47290</v>
      </c>
      <c r="I10" s="294">
        <f>VLOOKUP(C10,'Project Status'!C:U,19,FALSE)</f>
        <v>0</v>
      </c>
      <c r="J10" s="295">
        <f>VLOOKUP(C10,'Project Status'!C:X,20,FALSE)</f>
        <v>0</v>
      </c>
    </row>
    <row r="11" spans="1:10" x14ac:dyDescent="0.4">
      <c r="A11" s="166">
        <f t="shared" si="0"/>
        <v>6</v>
      </c>
      <c r="B11" s="39" t="str">
        <f>VLOOKUP(C11,'Project Status'!C:K,8,FALSE)</f>
        <v>Active</v>
      </c>
      <c r="C11" s="72">
        <v>20431</v>
      </c>
      <c r="D11" s="73" t="str">
        <f>VLOOKUP(C11,'Project Status'!C:G,5,FALSE)</f>
        <v>Divinity</v>
      </c>
      <c r="E11" s="39" t="str">
        <f>VLOOKUP(C11,'Project Status'!C:I,7,FALSE)</f>
        <v>Divinity Air Handling Unit Replacement, (5/6)- Phase 1</v>
      </c>
      <c r="F11" s="291">
        <f>IF(B11="Complete",SUM(G11:J11),VLOOKUP(C11,'Project Status'!C:M,11,FALSE))</f>
        <v>3800000</v>
      </c>
      <c r="G11" s="292">
        <f>VLOOKUP(C11,'Project Status'!C:S,17,FALSE)</f>
        <v>69862.5</v>
      </c>
      <c r="H11" s="293">
        <f>VLOOKUP(C11,'Project Status'!C:T,18,FALSE)</f>
        <v>3660360</v>
      </c>
      <c r="I11" s="294">
        <f>VLOOKUP(C11,'Project Status'!C:U,19,FALSE)</f>
        <v>0</v>
      </c>
      <c r="J11" s="295">
        <f>VLOOKUP(C11,'Project Status'!C:X,20,FALSE)</f>
        <v>0</v>
      </c>
    </row>
    <row r="12" spans="1:10" x14ac:dyDescent="0.4">
      <c r="A12" s="166">
        <f t="shared" si="0"/>
        <v>7</v>
      </c>
      <c r="B12" s="39" t="str">
        <f>VLOOKUP(C12,'Project Status'!C:K,8,FALSE)</f>
        <v>Active</v>
      </c>
      <c r="C12" s="72">
        <v>20478</v>
      </c>
      <c r="D12" s="73" t="str">
        <f>VLOOKUP(C12,'Project Status'!C:G,5,FALSE)</f>
        <v>Arts &amp; Science</v>
      </c>
      <c r="E12" s="39" t="str">
        <f>VLOOKUP(C12,'Project Status'!C:I,7,FALSE)</f>
        <v>Bryan Building - Swing Space Renovation - A&amp;S Planning</v>
      </c>
      <c r="F12" s="291">
        <f>IF(B12="Complete",SUM(G12:J12),VLOOKUP(C12,'Project Status'!C:M,11,FALSE))</f>
        <v>2790000</v>
      </c>
      <c r="G12" s="292">
        <f>VLOOKUP(C12,'Project Status'!C:S,17,FALSE)</f>
        <v>81100</v>
      </c>
      <c r="H12" s="293">
        <f>VLOOKUP(C12,'Project Status'!C:T,18,FALSE)</f>
        <v>1028900</v>
      </c>
      <c r="I12" s="294">
        <f>VLOOKUP(C12,'Project Status'!C:U,19,FALSE)</f>
        <v>0</v>
      </c>
      <c r="J12" s="295">
        <f>VLOOKUP(C12,'Project Status'!C:X,20,FALSE)</f>
        <v>0</v>
      </c>
    </row>
    <row r="13" spans="1:10" x14ac:dyDescent="0.4">
      <c r="A13" s="166">
        <f t="shared" si="0"/>
        <v>8</v>
      </c>
      <c r="B13" s="39" t="str">
        <f>VLOOKUP(C13,'Project Status'!C:K,8,FALSE)</f>
        <v>Active</v>
      </c>
      <c r="C13" s="72">
        <v>20489</v>
      </c>
      <c r="D13" s="73" t="str">
        <f>VLOOKUP(C13,'Project Status'!C:G,5,FALSE)</f>
        <v>Divinity</v>
      </c>
      <c r="E13" s="39" t="str">
        <f>VLOOKUP(C13,'Project Status'!C:I,7,FALSE)</f>
        <v>Divinity Air Handling Unit Replacement,(1/3) - Phase 2 with Benton - FY26</v>
      </c>
      <c r="F13" s="291">
        <f>IF(B13="Complete",SUM(G13:J13),VLOOKUP(C13,'Project Status'!C:M,11,FALSE))</f>
        <v>3600000</v>
      </c>
      <c r="G13" s="292">
        <f>VLOOKUP(C13,'Project Status'!C:S,17,FALSE)</f>
        <v>26500</v>
      </c>
      <c r="H13" s="293">
        <f>VLOOKUP(C13,'Project Status'!C:T,18,FALSE)</f>
        <v>0</v>
      </c>
      <c r="I13" s="294">
        <f>VLOOKUP(C13,'Project Status'!C:U,19,FALSE)</f>
        <v>304500</v>
      </c>
      <c r="J13" s="295">
        <f>VLOOKUP(C13,'Project Status'!C:X,20,FALSE)</f>
        <v>2369000</v>
      </c>
    </row>
    <row r="14" spans="1:10" x14ac:dyDescent="0.4">
      <c r="A14" s="166">
        <f t="shared" si="0"/>
        <v>9</v>
      </c>
      <c r="B14" s="39" t="str">
        <f>VLOOKUP(C14,'Project Status'!C:K,8,FALSE)</f>
        <v>Complete</v>
      </c>
      <c r="C14" s="72">
        <v>20497</v>
      </c>
      <c r="D14" s="73" t="str">
        <f>VLOOKUP(C14,'Project Status'!C:G,5,FALSE)</f>
        <v>Peabody</v>
      </c>
      <c r="E14" s="39" t="str">
        <f>VLOOKUP(C14,'Project Status'!C:I,7,FALSE)</f>
        <v>Jesup - Roof Replacement</v>
      </c>
      <c r="F14" s="291">
        <f>IF(B14="Complete",SUM(G14:J14),VLOOKUP(C14,'Project Status'!C:M,11,FALSE))</f>
        <v>34565.5</v>
      </c>
      <c r="G14" s="292">
        <f>VLOOKUP(C14,'Project Status'!C:S,17,FALSE)</f>
        <v>79415.5</v>
      </c>
      <c r="H14" s="293">
        <f>VLOOKUP(C14,'Project Status'!C:T,18,FALSE)</f>
        <v>-44850</v>
      </c>
      <c r="I14" s="294">
        <f>VLOOKUP(C14,'Project Status'!C:U,19,FALSE)</f>
        <v>0</v>
      </c>
      <c r="J14" s="295">
        <f>VLOOKUP(C14,'Project Status'!C:X,20,FALSE)</f>
        <v>0</v>
      </c>
    </row>
    <row r="15" spans="1:10" x14ac:dyDescent="0.4">
      <c r="A15" s="166">
        <f t="shared" si="0"/>
        <v>10</v>
      </c>
      <c r="B15" s="39" t="str">
        <f>VLOOKUP(C15,'Project Status'!C:K,8,FALSE)</f>
        <v>Complete</v>
      </c>
      <c r="C15" s="72">
        <v>20506</v>
      </c>
      <c r="D15" s="73" t="str">
        <f>VLOOKUP(C15,'Project Status'!C:G,5,FALSE)</f>
        <v>Peabody</v>
      </c>
      <c r="E15" s="39" t="str">
        <f>VLOOKUP(C15,'Project Status'!C:I,7,FALSE)</f>
        <v>Wyatt Center - Window Replacement</v>
      </c>
      <c r="F15" s="291">
        <f>IF(B15="Complete",SUM(G15:J15),VLOOKUP(C15,'Project Status'!C:M,11,FALSE))</f>
        <v>307776.26</v>
      </c>
      <c r="G15" s="292">
        <f>VLOOKUP(C15,'Project Status'!C:S,17,FALSE)</f>
        <v>344155.26</v>
      </c>
      <c r="H15" s="293">
        <f>VLOOKUP(C15,'Project Status'!C:T,18,FALSE)</f>
        <v>-36379</v>
      </c>
      <c r="I15" s="294">
        <f>VLOOKUP(C15,'Project Status'!C:U,19,FALSE)</f>
        <v>0</v>
      </c>
      <c r="J15" s="295">
        <f>VLOOKUP(C15,'Project Status'!C:X,20,FALSE)</f>
        <v>0</v>
      </c>
    </row>
    <row r="16" spans="1:10" x14ac:dyDescent="0.4">
      <c r="A16" s="166">
        <f t="shared" si="0"/>
        <v>11</v>
      </c>
      <c r="B16" s="39" t="str">
        <f>VLOOKUP(C16,'Project Status'!C:K,8,FALSE)</f>
        <v>Deferred / On Hold</v>
      </c>
      <c r="C16" s="72">
        <v>20560</v>
      </c>
      <c r="D16" s="73" t="str">
        <f>VLOOKUP(C16,'Project Status'!C:G,5,FALSE)</f>
        <v>Law</v>
      </c>
      <c r="E16" s="39" t="str">
        <f>VLOOKUP(C16,'Project Status'!C:I,7,FALSE)</f>
        <v>Law School - Electrical Gear Replacement - FY23 FR</v>
      </c>
      <c r="F16" s="291">
        <f>IF(B16="Complete",SUM(G16:J16),VLOOKUP(C16,'Project Status'!C:M,11,FALSE))</f>
        <v>905610</v>
      </c>
      <c r="G16" s="292">
        <f>VLOOKUP(C16,'Project Status'!C:S,17,FALSE)</f>
        <v>0</v>
      </c>
      <c r="H16" s="293">
        <f>VLOOKUP(C16,'Project Status'!C:T,18,FALSE)</f>
        <v>0</v>
      </c>
      <c r="I16" s="294">
        <f>VLOOKUP(C16,'Project Status'!C:U,19,FALSE)</f>
        <v>0</v>
      </c>
      <c r="J16" s="295">
        <f>VLOOKUP(C16,'Project Status'!C:X,20,FALSE)</f>
        <v>0</v>
      </c>
    </row>
    <row r="17" spans="1:10" x14ac:dyDescent="0.4">
      <c r="A17" s="166">
        <f t="shared" si="0"/>
        <v>12</v>
      </c>
      <c r="B17" s="39" t="str">
        <f>VLOOKUP(C17,'Project Status'!C:K,8,FALSE)</f>
        <v>Complete</v>
      </c>
      <c r="C17" s="72">
        <v>20562</v>
      </c>
      <c r="D17" s="73" t="str">
        <f>VLOOKUP(C17,'Project Status'!C:G,5,FALSE)</f>
        <v>Peabody</v>
      </c>
      <c r="E17" s="39" t="str">
        <f>VLOOKUP(C17,'Project Status'!C:I,7,FALSE)</f>
        <v>Wyatt Center - VAV Replacement</v>
      </c>
      <c r="F17" s="291">
        <f>IF(B17="Complete",SUM(G17:J17),VLOOKUP(C17,'Project Status'!C:M,11,FALSE))</f>
        <v>362559.64</v>
      </c>
      <c r="G17" s="292">
        <f>VLOOKUP(C17,'Project Status'!C:S,17,FALSE)</f>
        <v>405791</v>
      </c>
      <c r="H17" s="293">
        <f>VLOOKUP(C17,'Project Status'!C:T,18,FALSE)</f>
        <v>-43231.360000000001</v>
      </c>
      <c r="I17" s="294">
        <f>VLOOKUP(C17,'Project Status'!C:U,19,FALSE)</f>
        <v>0</v>
      </c>
      <c r="J17" s="295">
        <f>VLOOKUP(C17,'Project Status'!C:X,20,FALSE)</f>
        <v>0</v>
      </c>
    </row>
    <row r="18" spans="1:10" x14ac:dyDescent="0.4">
      <c r="A18" s="166">
        <f t="shared" si="0"/>
        <v>13</v>
      </c>
      <c r="B18" s="39" t="str">
        <f>VLOOKUP(C18,'Project Status'!C:K,8,FALSE)</f>
        <v>Deferred / On Hold</v>
      </c>
      <c r="C18" s="72">
        <v>20563</v>
      </c>
      <c r="D18" s="73" t="str">
        <f>VLOOKUP(C18,'Project Status'!C:G,5,FALSE)</f>
        <v>Engineering</v>
      </c>
      <c r="E18" s="39" t="str">
        <f>VLOOKUP(C18,'Project Status'!C:I,7,FALSE)</f>
        <v>Keck FEL - Roof Replacement</v>
      </c>
      <c r="F18" s="291">
        <f>IF(B18="Complete",SUM(G18:J18),VLOOKUP(C18,'Project Status'!C:M,11,FALSE))</f>
        <v>386000</v>
      </c>
      <c r="G18" s="292">
        <f>VLOOKUP(C18,'Project Status'!C:S,17,FALSE)</f>
        <v>0</v>
      </c>
      <c r="H18" s="293">
        <f>VLOOKUP(C18,'Project Status'!C:T,18,FALSE)</f>
        <v>0</v>
      </c>
      <c r="I18" s="294">
        <f>VLOOKUP(C18,'Project Status'!C:U,19,FALSE)</f>
        <v>0</v>
      </c>
      <c r="J18" s="295">
        <f>VLOOKUP(C18,'Project Status'!C:X,20,FALSE)</f>
        <v>0</v>
      </c>
    </row>
    <row r="19" spans="1:10" x14ac:dyDescent="0.4">
      <c r="A19" s="166">
        <f t="shared" si="0"/>
        <v>14</v>
      </c>
      <c r="B19" s="39" t="str">
        <f>VLOOKUP(C19,'Project Status'!C:K,8,FALSE)</f>
        <v>Complete</v>
      </c>
      <c r="C19" s="72">
        <v>20566</v>
      </c>
      <c r="D19" s="73" t="str">
        <f>VLOOKUP(C19,'Project Status'!C:G,5,FALSE)</f>
        <v>Arts &amp; Science</v>
      </c>
      <c r="E19" s="39" t="str">
        <f>VLOOKUP(C19,'Project Status'!C:I,7,FALSE)</f>
        <v>SC Chemistry (SC7) - Elevator 1 &amp; 2 Modernization</v>
      </c>
      <c r="F19" s="291">
        <f>IF(B19="Complete",SUM(G19:J19),VLOOKUP(C19,'Project Status'!C:M,11,FALSE))</f>
        <v>722586.68</v>
      </c>
      <c r="G19" s="292">
        <f>VLOOKUP(C19,'Project Status'!C:S,17,FALSE)</f>
        <v>781870</v>
      </c>
      <c r="H19" s="293">
        <f>VLOOKUP(C19,'Project Status'!C:T,18,FALSE)</f>
        <v>-59283.32</v>
      </c>
      <c r="I19" s="294">
        <f>VLOOKUP(C19,'Project Status'!C:U,19,FALSE)</f>
        <v>0</v>
      </c>
      <c r="J19" s="295">
        <f>VLOOKUP(C19,'Project Status'!C:X,20,FALSE)</f>
        <v>0</v>
      </c>
    </row>
    <row r="20" spans="1:10" x14ac:dyDescent="0.4">
      <c r="A20" s="166">
        <f t="shared" si="0"/>
        <v>15</v>
      </c>
      <c r="B20" s="39" t="str">
        <f>VLOOKUP(C20,'Project Status'!C:K,8,FALSE)</f>
        <v>Complete</v>
      </c>
      <c r="C20" s="72">
        <v>20573</v>
      </c>
      <c r="D20" s="73" t="str">
        <f>VLOOKUP(C20,'Project Status'!C:G,5,FALSE)</f>
        <v>Peabody</v>
      </c>
      <c r="E20" s="39" t="str">
        <f>VLOOKUP(C20,'Project Status'!C:I,7,FALSE)</f>
        <v>Wyatt Center - Roof Replacement</v>
      </c>
      <c r="F20" s="291">
        <f>IF(B20="Complete",SUM(G20:J20),VLOOKUP(C20,'Project Status'!C:M,11,FALSE))</f>
        <v>1113460</v>
      </c>
      <c r="G20" s="292">
        <f>VLOOKUP(C20,'Project Status'!C:S,17,FALSE)</f>
        <v>1232681</v>
      </c>
      <c r="H20" s="293">
        <f>VLOOKUP(C20,'Project Status'!C:T,18,FALSE)</f>
        <v>-119221</v>
      </c>
      <c r="I20" s="294">
        <f>VLOOKUP(C20,'Project Status'!C:U,19,FALSE)</f>
        <v>0</v>
      </c>
      <c r="J20" s="295">
        <f>VLOOKUP(C20,'Project Status'!C:X,20,FALSE)</f>
        <v>0</v>
      </c>
    </row>
    <row r="21" spans="1:10" x14ac:dyDescent="0.4">
      <c r="A21" s="166">
        <f t="shared" si="0"/>
        <v>16</v>
      </c>
      <c r="B21" s="39" t="str">
        <f>VLOOKUP(C21,'Project Status'!C:K,8,FALSE)</f>
        <v>Complete</v>
      </c>
      <c r="C21" s="72">
        <v>20574</v>
      </c>
      <c r="D21" s="73" t="str">
        <f>VLOOKUP(C21,'Project Status'!C:G,5,FALSE)</f>
        <v>School of Medicine</v>
      </c>
      <c r="E21" s="39" t="str">
        <f>VLOOKUP(C21,'Project Status'!C:I,7,FALSE)</f>
        <v>MRB III - Steam Coil Replacement</v>
      </c>
      <c r="F21" s="291">
        <f>IF(B21="Complete",SUM(G21:J21),VLOOKUP(C21,'Project Status'!C:M,11,FALSE))</f>
        <v>195665</v>
      </c>
      <c r="G21" s="292">
        <f>VLOOKUP(C21,'Project Status'!C:S,17,FALSE)</f>
        <v>218202</v>
      </c>
      <c r="H21" s="293">
        <f>VLOOKUP(C21,'Project Status'!C:T,18,FALSE)</f>
        <v>-22537</v>
      </c>
      <c r="I21" s="294">
        <f>VLOOKUP(C21,'Project Status'!C:U,19,FALSE)</f>
        <v>0</v>
      </c>
      <c r="J21" s="295">
        <f>VLOOKUP(C21,'Project Status'!C:X,20,FALSE)</f>
        <v>0</v>
      </c>
    </row>
    <row r="22" spans="1:10" x14ac:dyDescent="0.4">
      <c r="A22" s="166">
        <f t="shared" si="0"/>
        <v>17</v>
      </c>
      <c r="B22" s="39" t="str">
        <f>VLOOKUP(C22,'Project Status'!C:K,8,FALSE)</f>
        <v>Active</v>
      </c>
      <c r="C22" s="72">
        <v>20577</v>
      </c>
      <c r="D22" s="73" t="str">
        <f>VLOOKUP(C22,'Project Status'!C:G,5,FALSE)</f>
        <v>Blair</v>
      </c>
      <c r="E22" s="39" t="str">
        <f>VLOOKUP(C22,'Project Status'!C:I,7,FALSE)</f>
        <v>Blair School of Music - AHU - 1 Replacement - Phase 1 - FY25</v>
      </c>
      <c r="F22" s="291">
        <f>IF(B22="Complete",SUM(G22:J22),VLOOKUP(C22,'Project Status'!C:M,11,FALSE))</f>
        <v>1300000</v>
      </c>
      <c r="G22" s="292">
        <f>VLOOKUP(C22,'Project Status'!C:S,17,FALSE)</f>
        <v>223000</v>
      </c>
      <c r="H22" s="293">
        <f>VLOOKUP(C22,'Project Status'!C:T,18,FALSE)</f>
        <v>0</v>
      </c>
      <c r="I22" s="294">
        <f>VLOOKUP(C22,'Project Status'!C:U,19,FALSE)</f>
        <v>1077000</v>
      </c>
      <c r="J22" s="295">
        <f>VLOOKUP(C22,'Project Status'!C:X,20,FALSE)</f>
        <v>0</v>
      </c>
    </row>
    <row r="23" spans="1:10" x14ac:dyDescent="0.4">
      <c r="A23" s="166">
        <f t="shared" si="0"/>
        <v>18</v>
      </c>
      <c r="B23" s="39" t="str">
        <f>VLOOKUP(C23,'Project Status'!C:K,8,FALSE)</f>
        <v>Complete</v>
      </c>
      <c r="C23" s="72">
        <v>20644</v>
      </c>
      <c r="D23" s="73" t="str">
        <f>VLOOKUP(C23,'Project Status'!C:G,5,FALSE)</f>
        <v>Peabody</v>
      </c>
      <c r="E23" s="39" t="str">
        <f>VLOOKUP(C23,'Project Status'!C:I,7,FALSE)</f>
        <v>Peabody Administration - Envelope Repairs</v>
      </c>
      <c r="F23" s="291">
        <f>IF(B23="Complete",SUM(G23:J23),VLOOKUP(C23,'Project Status'!C:M,11,FALSE))</f>
        <v>571789</v>
      </c>
      <c r="G23" s="292">
        <f>VLOOKUP(C23,'Project Status'!C:S,17,FALSE)</f>
        <v>630554</v>
      </c>
      <c r="H23" s="293">
        <f>VLOOKUP(C23,'Project Status'!C:T,18,FALSE)</f>
        <v>-58765</v>
      </c>
      <c r="I23" s="294">
        <f>VLOOKUP(C23,'Project Status'!C:U,19,FALSE)</f>
        <v>0</v>
      </c>
      <c r="J23" s="295">
        <f>VLOOKUP(C23,'Project Status'!C:X,20,FALSE)</f>
        <v>0</v>
      </c>
    </row>
    <row r="24" spans="1:10" x14ac:dyDescent="0.4">
      <c r="A24" s="166">
        <f t="shared" si="0"/>
        <v>19</v>
      </c>
      <c r="B24" s="39" t="str">
        <f>VLOOKUP(C24,'Project Status'!C:K,8,FALSE)</f>
        <v>Complete</v>
      </c>
      <c r="C24" s="72">
        <v>20645</v>
      </c>
      <c r="D24" s="73" t="str">
        <f>VLOOKUP(C24,'Project Status'!C:G,5,FALSE)</f>
        <v>Arts &amp; Science</v>
      </c>
      <c r="E24" s="39" t="str">
        <f>VLOOKUP(C24,'Project Status'!C:I,7,FALSE)</f>
        <v>Benson Old Central - Replace Soffit and Doors</v>
      </c>
      <c r="F24" s="291">
        <f>IF(B24="Complete",SUM(G24:J24),VLOOKUP(C24,'Project Status'!C:M,11,FALSE))</f>
        <v>114350</v>
      </c>
      <c r="G24" s="292">
        <f>VLOOKUP(C24,'Project Status'!C:S,17,FALSE)</f>
        <v>125875</v>
      </c>
      <c r="H24" s="293">
        <f>VLOOKUP(C24,'Project Status'!C:T,18,FALSE)</f>
        <v>-11525</v>
      </c>
      <c r="I24" s="294">
        <f>VLOOKUP(C24,'Project Status'!C:U,19,FALSE)</f>
        <v>0</v>
      </c>
      <c r="J24" s="295">
        <f>VLOOKUP(C24,'Project Status'!C:X,20,FALSE)</f>
        <v>0</v>
      </c>
    </row>
    <row r="25" spans="1:10" x14ac:dyDescent="0.4">
      <c r="A25" s="166">
        <f t="shared" si="0"/>
        <v>20</v>
      </c>
      <c r="B25" s="39" t="str">
        <f>VLOOKUP(C25,'Project Status'!C:K,8,FALSE)</f>
        <v>Active</v>
      </c>
      <c r="C25" s="72">
        <v>20667</v>
      </c>
      <c r="D25" s="73" t="str">
        <f>VLOOKUP(C25,'Project Status'!C:G,5,FALSE)</f>
        <v>Engineering</v>
      </c>
      <c r="E25" s="39" t="str">
        <f>VLOOKUP(C25,'Project Status'!C:I,7,FALSE)</f>
        <v>1025 16th Avenue - Mechanical and Electrical Upgrades</v>
      </c>
      <c r="F25" s="291">
        <f>IF(B25="Complete",SUM(G25:J25),VLOOKUP(C25,'Project Status'!C:M,11,FALSE))</f>
        <v>1550000</v>
      </c>
      <c r="G25" s="292">
        <f>VLOOKUP(C25,'Project Status'!C:S,17,FALSE)</f>
        <v>146500</v>
      </c>
      <c r="H25" s="293">
        <f>VLOOKUP(C25,'Project Status'!C:T,18,FALSE)</f>
        <v>0</v>
      </c>
      <c r="I25" s="294">
        <f>VLOOKUP(C25,'Project Status'!C:U,19,FALSE)</f>
        <v>1398860</v>
      </c>
      <c r="J25" s="295">
        <f>VLOOKUP(C25,'Project Status'!C:X,20,FALSE)</f>
        <v>0</v>
      </c>
    </row>
    <row r="26" spans="1:10" x14ac:dyDescent="0.4">
      <c r="A26" s="166">
        <f t="shared" si="0"/>
        <v>21</v>
      </c>
      <c r="B26" s="39" t="str">
        <f>VLOOKUP(C26,'Project Status'!C:K,8,FALSE)</f>
        <v>Active</v>
      </c>
      <c r="C26" s="72">
        <v>20668</v>
      </c>
      <c r="D26" s="73" t="str">
        <f>VLOOKUP(C26,'Project Status'!C:G,5,FALSE)</f>
        <v>Engineering</v>
      </c>
      <c r="E26" s="39" t="str">
        <f>VLOOKUP(C26,'Project Status'!C:I,7,FALSE)</f>
        <v>Keck FEL - Mechanical Upgrades</v>
      </c>
      <c r="F26" s="291">
        <f>IF(B26="Complete",SUM(G26:J26),VLOOKUP(C26,'Project Status'!C:M,11,FALSE))</f>
        <v>3960000</v>
      </c>
      <c r="G26" s="292">
        <f>VLOOKUP(C26,'Project Status'!C:S,17,FALSE)</f>
        <v>206500</v>
      </c>
      <c r="H26" s="293">
        <f>VLOOKUP(C26,'Project Status'!C:T,18,FALSE)</f>
        <v>24933</v>
      </c>
      <c r="I26" s="294">
        <f>VLOOKUP(C26,'Project Status'!C:U,19,FALSE)</f>
        <v>0</v>
      </c>
      <c r="J26" s="295">
        <f>VLOOKUP(C26,'Project Status'!C:X,20,FALSE)</f>
        <v>0</v>
      </c>
    </row>
    <row r="27" spans="1:10" x14ac:dyDescent="0.4">
      <c r="A27" s="166">
        <f t="shared" si="0"/>
        <v>22</v>
      </c>
      <c r="B27" s="39" t="str">
        <f>VLOOKUP(C27,'Project Status'!C:K,8,FALSE)</f>
        <v>Complete</v>
      </c>
      <c r="C27" s="72">
        <v>20698</v>
      </c>
      <c r="D27" s="73" t="str">
        <f>VLOOKUP(C27,'Project Status'!C:G,5,FALSE)</f>
        <v>Arts &amp; Science</v>
      </c>
      <c r="E27" s="39" t="str">
        <f>VLOOKUP(C27,'Project Status'!C:I,7,FALSE)</f>
        <v>Wilson Hall - Fire Alarm Replacement</v>
      </c>
      <c r="F27" s="291">
        <f>IF(B27="Complete",SUM(G27:J27),VLOOKUP(C27,'Project Status'!C:M,11,FALSE))</f>
        <v>586776.36</v>
      </c>
      <c r="G27" s="292">
        <f>VLOOKUP(C27,'Project Status'!C:S,17,FALSE)</f>
        <v>29250</v>
      </c>
      <c r="H27" s="293">
        <f>VLOOKUP(C27,'Project Status'!C:T,18,FALSE)</f>
        <v>649263</v>
      </c>
      <c r="I27" s="294">
        <f>VLOOKUP(C27,'Project Status'!C:U,19,FALSE)</f>
        <v>0</v>
      </c>
      <c r="J27" s="295">
        <f>VLOOKUP(C27,'Project Status'!C:X,20,FALSE)</f>
        <v>-91736.639999999999</v>
      </c>
    </row>
    <row r="28" spans="1:10" x14ac:dyDescent="0.4">
      <c r="A28" s="166">
        <f t="shared" si="0"/>
        <v>23</v>
      </c>
      <c r="B28" s="39" t="str">
        <f>VLOOKUP(C28,'Project Status'!C:K,8,FALSE)</f>
        <v>Complete</v>
      </c>
      <c r="C28" s="72">
        <v>20700</v>
      </c>
      <c r="D28" s="73" t="str">
        <f>VLOOKUP(C28,'Project Status'!C:G,5,FALSE)</f>
        <v>Arts &amp; Science</v>
      </c>
      <c r="E28" s="39" t="str">
        <f>VLOOKUP(C28,'Project Status'!C:I,7,FALSE)</f>
        <v>SC-7 Chemistry - SG-1 Removal and Connection to Central Plant Steam</v>
      </c>
      <c r="F28" s="291">
        <f>IF(B28="Complete",SUM(G28:J28),VLOOKUP(C28,'Project Status'!C:M,11,FALSE))</f>
        <v>85577</v>
      </c>
      <c r="G28" s="292">
        <f>VLOOKUP(C28,'Project Status'!C:S,17,FALSE)</f>
        <v>79623</v>
      </c>
      <c r="H28" s="293">
        <f>VLOOKUP(C28,'Project Status'!C:T,18,FALSE)</f>
        <v>5954</v>
      </c>
      <c r="I28" s="294">
        <f>VLOOKUP(C28,'Project Status'!C:U,19,FALSE)</f>
        <v>0</v>
      </c>
      <c r="J28" s="295">
        <f>VLOOKUP(C28,'Project Status'!C:X,20,FALSE)</f>
        <v>0</v>
      </c>
    </row>
    <row r="29" spans="1:10" x14ac:dyDescent="0.4">
      <c r="A29" s="166">
        <f t="shared" si="0"/>
        <v>24</v>
      </c>
      <c r="B29" s="39" t="str">
        <f>VLOOKUP(C29,'Project Status'!C:K,8,FALSE)</f>
        <v>Complete</v>
      </c>
      <c r="C29" s="72">
        <v>20701</v>
      </c>
      <c r="D29" s="73" t="str">
        <f>VLOOKUP(C29,'Project Status'!C:G,5,FALSE)</f>
        <v>Arts &amp; Science</v>
      </c>
      <c r="E29" s="39" t="str">
        <f>VLOOKUP(C29,'Project Status'!C:I,7,FALSE)</f>
        <v>SC-5 - Chemical Discharge Replacement</v>
      </c>
      <c r="F29" s="291">
        <f>IF(B29="Complete",SUM(G29:J29),VLOOKUP(C29,'Project Status'!C:M,11,FALSE))</f>
        <v>447535.86</v>
      </c>
      <c r="G29" s="292">
        <f>VLOOKUP(C29,'Project Status'!C:S,17,FALSE)</f>
        <v>499093</v>
      </c>
      <c r="H29" s="293">
        <f>VLOOKUP(C29,'Project Status'!C:T,18,FALSE)</f>
        <v>0</v>
      </c>
      <c r="I29" s="294">
        <f>VLOOKUP(C29,'Project Status'!C:U,19,FALSE)</f>
        <v>0</v>
      </c>
      <c r="J29" s="295">
        <f>VLOOKUP(C29,'Project Status'!C:X,20,FALSE)</f>
        <v>-51557.14</v>
      </c>
    </row>
    <row r="30" spans="1:10" x14ac:dyDescent="0.4">
      <c r="A30" s="166">
        <f t="shared" si="0"/>
        <v>25</v>
      </c>
      <c r="B30" s="39" t="str">
        <f>VLOOKUP(C30,'Project Status'!C:K,8,FALSE)</f>
        <v>Complete</v>
      </c>
      <c r="C30" s="72">
        <v>20702</v>
      </c>
      <c r="D30" s="73" t="str">
        <f>VLOOKUP(C30,'Project Status'!C:G,5,FALSE)</f>
        <v>Peabody</v>
      </c>
      <c r="E30" s="39" t="str">
        <f>VLOOKUP(C30,'Project Status'!C:I,7,FALSE)</f>
        <v>Wyatt Center - Elevator #2 Modernization</v>
      </c>
      <c r="F30" s="291">
        <f>IF(B30="Complete",SUM(G30:J30),VLOOKUP(C30,'Project Status'!C:M,11,FALSE))</f>
        <v>209419</v>
      </c>
      <c r="G30" s="292">
        <f>VLOOKUP(C30,'Project Status'!C:S,17,FALSE)</f>
        <v>239341</v>
      </c>
      <c r="H30" s="293">
        <f>VLOOKUP(C30,'Project Status'!C:T,18,FALSE)</f>
        <v>-29922</v>
      </c>
      <c r="I30" s="294">
        <f>VLOOKUP(C30,'Project Status'!C:U,19,FALSE)</f>
        <v>0</v>
      </c>
      <c r="J30" s="295">
        <f>VLOOKUP(C30,'Project Status'!C:X,20,FALSE)</f>
        <v>0</v>
      </c>
    </row>
    <row r="31" spans="1:10" x14ac:dyDescent="0.4">
      <c r="A31" s="166">
        <f t="shared" si="0"/>
        <v>26</v>
      </c>
      <c r="B31" s="39" t="str">
        <f>VLOOKUP(C31,'Project Status'!C:K,8,FALSE)</f>
        <v>Complete</v>
      </c>
      <c r="C31" s="72">
        <v>20718</v>
      </c>
      <c r="D31" s="73" t="str">
        <f>VLOOKUP(C31,'Project Status'!C:G,5,FALSE)</f>
        <v>Arts &amp; Science</v>
      </c>
      <c r="E31" s="39" t="str">
        <f>VLOOKUP(C31,'Project Status'!C:I,7,FALSE)</f>
        <v>Buttrick Hall - 3rd Floor Inequality Renovations</v>
      </c>
      <c r="F31" s="291">
        <f>IF(B31="Complete",SUM(G31:J31),VLOOKUP(C31,'Project Status'!C:M,11,FALSE))</f>
        <v>96166</v>
      </c>
      <c r="G31" s="292">
        <f>VLOOKUP(C31,'Project Status'!C:S,17,FALSE)</f>
        <v>96166</v>
      </c>
      <c r="H31" s="293">
        <f>VLOOKUP(C31,'Project Status'!C:T,18,FALSE)</f>
        <v>0</v>
      </c>
      <c r="I31" s="294">
        <f>VLOOKUP(C31,'Project Status'!C:U,19,FALSE)</f>
        <v>0</v>
      </c>
      <c r="J31" s="295">
        <f>VLOOKUP(C31,'Project Status'!C:X,20,FALSE)</f>
        <v>0</v>
      </c>
    </row>
    <row r="32" spans="1:10" x14ac:dyDescent="0.4">
      <c r="A32" s="166">
        <f t="shared" si="0"/>
        <v>27</v>
      </c>
      <c r="B32" s="39" t="str">
        <f>VLOOKUP(C32,'Project Status'!C:K,8,FALSE)</f>
        <v>Active</v>
      </c>
      <c r="C32" s="72">
        <v>20723</v>
      </c>
      <c r="D32" s="73" t="str">
        <f>VLOOKUP(C32,'Project Status'!C:G,5,FALSE)</f>
        <v>School of Medicine</v>
      </c>
      <c r="E32" s="39" t="str">
        <f>VLOOKUP(C32,'Project Status'!C:I,7,FALSE)</f>
        <v>MRB III - 9th Floor (with 4 ,5 &amp; 8) - Replace Controls (Phase 3)</v>
      </c>
      <c r="F32" s="291">
        <f>IF(B32="Complete",SUM(G32:J32),VLOOKUP(C32,'Project Status'!C:M,11,FALSE))</f>
        <v>1610000</v>
      </c>
      <c r="G32" s="292">
        <f>VLOOKUP(C32,'Project Status'!C:S,17,FALSE)</f>
        <v>160500</v>
      </c>
      <c r="H32" s="293">
        <f>VLOOKUP(C32,'Project Status'!C:T,18,FALSE)</f>
        <v>0</v>
      </c>
      <c r="I32" s="294">
        <f>VLOOKUP(C32,'Project Status'!C:U,19,FALSE)</f>
        <v>1539500</v>
      </c>
      <c r="J32" s="295">
        <f>VLOOKUP(C32,'Project Status'!C:X,20,FALSE)</f>
        <v>0</v>
      </c>
    </row>
    <row r="33" spans="1:10" x14ac:dyDescent="0.4">
      <c r="A33" s="166">
        <f t="shared" si="0"/>
        <v>28</v>
      </c>
      <c r="B33" s="39" t="str">
        <f>VLOOKUP(C33,'Project Status'!C:K,8,FALSE)</f>
        <v>Active</v>
      </c>
      <c r="C33" s="72">
        <v>20724</v>
      </c>
      <c r="D33" s="73" t="str">
        <f>VLOOKUP(C33,'Project Status'!C:G,5,FALSE)</f>
        <v>Blair</v>
      </c>
      <c r="E33" s="39" t="str">
        <f>VLOOKUP(C33,'Project Status'!C:I,7,FALSE)</f>
        <v>Blair School of Music - Steam Line - FY 23</v>
      </c>
      <c r="F33" s="291">
        <f>IF(B33="Complete",SUM(G33:J33),VLOOKUP(C33,'Project Status'!C:M,11,FALSE))</f>
        <v>1987500</v>
      </c>
      <c r="G33" s="292">
        <f>VLOOKUP(C33,'Project Status'!C:S,17,FALSE)</f>
        <v>23400</v>
      </c>
      <c r="H33" s="293">
        <f>VLOOKUP(C33,'Project Status'!C:T,18,FALSE)</f>
        <v>1964100</v>
      </c>
      <c r="I33" s="294">
        <f>VLOOKUP(C33,'Project Status'!C:U,19,FALSE)</f>
        <v>0</v>
      </c>
      <c r="J33" s="295">
        <f>VLOOKUP(C33,'Project Status'!C:X,20,FALSE)</f>
        <v>-148241.72</v>
      </c>
    </row>
    <row r="34" spans="1:10" x14ac:dyDescent="0.4">
      <c r="A34" s="166">
        <f t="shared" si="0"/>
        <v>29</v>
      </c>
      <c r="B34" s="39" t="str">
        <f>VLOOKUP(C34,'Project Status'!C:K,8,FALSE)</f>
        <v>Complete</v>
      </c>
      <c r="C34" s="72">
        <v>20735</v>
      </c>
      <c r="D34" s="73" t="str">
        <f>VLOOKUP(C34,'Project Status'!C:G,5,FALSE)</f>
        <v>Owen</v>
      </c>
      <c r="E34" s="39" t="str">
        <f>VLOOKUP(C34,'Project Status'!C:I,7,FALSE)</f>
        <v>Owen - Roof Replacement (Third Level)</v>
      </c>
      <c r="F34" s="291">
        <f>IF(B34="Complete",SUM(G34:J34),VLOOKUP(C34,'Project Status'!C:M,11,FALSE))</f>
        <v>276500</v>
      </c>
      <c r="G34" s="292">
        <f>VLOOKUP(C34,'Project Status'!C:S,17,FALSE)</f>
        <v>300000</v>
      </c>
      <c r="H34" s="293">
        <f>VLOOKUP(C34,'Project Status'!C:T,18,FALSE)</f>
        <v>-23500</v>
      </c>
      <c r="I34" s="294">
        <f>VLOOKUP(C34,'Project Status'!C:U,19,FALSE)</f>
        <v>0</v>
      </c>
      <c r="J34" s="295">
        <f>VLOOKUP(C34,'Project Status'!C:X,20,FALSE)</f>
        <v>0</v>
      </c>
    </row>
    <row r="35" spans="1:10" x14ac:dyDescent="0.4">
      <c r="A35" s="166">
        <f t="shared" si="0"/>
        <v>30</v>
      </c>
      <c r="B35" s="39" t="str">
        <f>VLOOKUP(C35,'Project Status'!C:K,8,FALSE)</f>
        <v>Active</v>
      </c>
      <c r="C35" s="72">
        <v>20767</v>
      </c>
      <c r="D35" s="73" t="str">
        <f>VLOOKUP(C35,'Project Status'!C:G,5,FALSE)</f>
        <v>Peabody</v>
      </c>
      <c r="E35" s="39" t="str">
        <f>VLOOKUP(C35,'Project Status'!C:I,7,FALSE)</f>
        <v>Six Magnolia Circle - Foundation Repairs</v>
      </c>
      <c r="F35" s="291">
        <f>IF(B35="Complete",SUM(G35:J35),VLOOKUP(C35,'Project Status'!C:M,11,FALSE))</f>
        <v>149000</v>
      </c>
      <c r="G35" s="292">
        <f>VLOOKUP(C35,'Project Status'!C:S,17,FALSE)</f>
        <v>0</v>
      </c>
      <c r="H35" s="293">
        <f>VLOOKUP(C35,'Project Status'!C:T,18,FALSE)</f>
        <v>148299</v>
      </c>
      <c r="I35" s="294">
        <f>VLOOKUP(C35,'Project Status'!C:U,19,FALSE)</f>
        <v>0</v>
      </c>
      <c r="J35" s="295">
        <f>VLOOKUP(C35,'Project Status'!C:X,20,FALSE)</f>
        <v>0</v>
      </c>
    </row>
    <row r="36" spans="1:10" x14ac:dyDescent="0.4">
      <c r="A36" s="166">
        <f t="shared" si="0"/>
        <v>31</v>
      </c>
      <c r="B36" s="39" t="str">
        <f>VLOOKUP(C36,'Project Status'!C:K,8,FALSE)</f>
        <v>Complete</v>
      </c>
      <c r="C36" s="72">
        <v>20771</v>
      </c>
      <c r="D36" s="73" t="str">
        <f>VLOOKUP(C36,'Project Status'!C:G,5,FALSE)</f>
        <v>Arts &amp; Science</v>
      </c>
      <c r="E36" s="39" t="str">
        <f>VLOOKUP(C36,'Project Status'!C:I,7,FALSE)</f>
        <v>SC4 - Interstitial Space HVAC Modifications</v>
      </c>
      <c r="F36" s="291">
        <f>IF(B36="Complete",SUM(G36:J36),VLOOKUP(C36,'Project Status'!C:M,11,FALSE))</f>
        <v>17972</v>
      </c>
      <c r="G36" s="292">
        <f>VLOOKUP(C36,'Project Status'!C:S,17,FALSE)</f>
        <v>24997</v>
      </c>
      <c r="H36" s="293">
        <f>VLOOKUP(C36,'Project Status'!C:T,18,FALSE)</f>
        <v>-7025</v>
      </c>
      <c r="I36" s="294">
        <f>VLOOKUP(C36,'Project Status'!C:U,19,FALSE)</f>
        <v>0</v>
      </c>
      <c r="J36" s="295">
        <f>VLOOKUP(C36,'Project Status'!C:X,20,FALSE)</f>
        <v>0</v>
      </c>
    </row>
    <row r="37" spans="1:10" x14ac:dyDescent="0.4">
      <c r="A37" s="166">
        <f t="shared" si="0"/>
        <v>32</v>
      </c>
      <c r="B37" s="39" t="str">
        <f>VLOOKUP(C37,'Project Status'!C:K,8,FALSE)</f>
        <v>Complete</v>
      </c>
      <c r="C37" s="72">
        <v>20772</v>
      </c>
      <c r="D37" s="73" t="str">
        <f>VLOOKUP(C37,'Project Status'!C:G,5,FALSE)</f>
        <v>Owen</v>
      </c>
      <c r="E37" s="39" t="str">
        <f>VLOOKUP(C37,'Project Status'!C:I,7,FALSE)</f>
        <v>OGSM Old Mechanical- Slate Roof &amp; Window Replacement</v>
      </c>
      <c r="F37" s="291">
        <f>IF(B37="Complete",SUM(G37:J37),VLOOKUP(C37,'Project Status'!C:M,11,FALSE))</f>
        <v>2977388.14</v>
      </c>
      <c r="G37" s="292">
        <f>VLOOKUP(C37,'Project Status'!C:S,17,FALSE)</f>
        <v>0</v>
      </c>
      <c r="H37" s="293">
        <f>VLOOKUP(C37,'Project Status'!C:T,18,FALSE)</f>
        <v>1600000</v>
      </c>
      <c r="I37" s="294">
        <f>VLOOKUP(C37,'Project Status'!C:U,19,FALSE)</f>
        <v>1600000</v>
      </c>
      <c r="J37" s="295">
        <f>VLOOKUP(C37,'Project Status'!C:X,20,FALSE)</f>
        <v>-222611.86</v>
      </c>
    </row>
    <row r="38" spans="1:10" x14ac:dyDescent="0.4">
      <c r="A38" s="166">
        <f t="shared" si="0"/>
        <v>33</v>
      </c>
      <c r="B38" s="39" t="str">
        <f>VLOOKUP(C38,'Project Status'!C:K,8,FALSE)</f>
        <v>Complete</v>
      </c>
      <c r="C38" s="72">
        <v>20792</v>
      </c>
      <c r="D38" s="73" t="str">
        <f>VLOOKUP(C38,'Project Status'!C:G,5,FALSE)</f>
        <v>Law</v>
      </c>
      <c r="E38" s="39" t="str">
        <f>VLOOKUP(C38,'Project Status'!C:I,7,FALSE)</f>
        <v>Law School - Sections 1, 2, &amp; 3  Roof Replacement</v>
      </c>
      <c r="F38" s="291">
        <f>IF(B38="Complete",SUM(G38:J38),VLOOKUP(C38,'Project Status'!C:M,11,FALSE))</f>
        <v>450775</v>
      </c>
      <c r="G38" s="292">
        <f>VLOOKUP(C38,'Project Status'!C:S,17,FALSE)</f>
        <v>483440</v>
      </c>
      <c r="H38" s="293">
        <f>VLOOKUP(C38,'Project Status'!C:T,18,FALSE)</f>
        <v>-32665</v>
      </c>
      <c r="I38" s="294">
        <f>VLOOKUP(C38,'Project Status'!C:U,19,FALSE)</f>
        <v>0</v>
      </c>
      <c r="J38" s="295">
        <f>VLOOKUP(C38,'Project Status'!C:X,20,FALSE)</f>
        <v>0</v>
      </c>
    </row>
    <row r="39" spans="1:10" x14ac:dyDescent="0.4">
      <c r="A39" s="166">
        <f t="shared" si="0"/>
        <v>34</v>
      </c>
      <c r="B39" s="39" t="str">
        <f>VLOOKUP(C39,'Project Status'!C:K,8,FALSE)</f>
        <v>Complete</v>
      </c>
      <c r="C39" s="72">
        <v>20811</v>
      </c>
      <c r="D39" s="73" t="str">
        <f>VLOOKUP(C39,'Project Status'!C:G,5,FALSE)</f>
        <v>Peabody</v>
      </c>
      <c r="E39" s="39" t="str">
        <f>VLOOKUP(C39,'Project Status'!C:I,7,FALSE)</f>
        <v>One Magnolia Circle - Retaining Wall Repair</v>
      </c>
      <c r="F39" s="291">
        <f>IF(B39="Complete",SUM(G39:J39),VLOOKUP(C39,'Project Status'!C:M,11,FALSE))</f>
        <v>123523.71000000002</v>
      </c>
      <c r="G39" s="292">
        <f>VLOOKUP(C39,'Project Status'!C:S,17,FALSE)</f>
        <v>0</v>
      </c>
      <c r="H39" s="293">
        <f>VLOOKUP(C39,'Project Status'!C:T,18,FALSE)</f>
        <v>285233.27</v>
      </c>
      <c r="I39" s="294">
        <f>VLOOKUP(C39,'Project Status'!C:U,19,FALSE)</f>
        <v>0</v>
      </c>
      <c r="J39" s="295">
        <f>VLOOKUP(C39,'Project Status'!C:X,20,FALSE)</f>
        <v>-161709.56</v>
      </c>
    </row>
    <row r="40" spans="1:10" x14ac:dyDescent="0.4">
      <c r="A40" s="166">
        <f t="shared" si="0"/>
        <v>35</v>
      </c>
      <c r="B40" s="39" t="str">
        <f>VLOOKUP(C40,'Project Status'!C:K,8,FALSE)</f>
        <v>Active</v>
      </c>
      <c r="C40" s="72">
        <v>20812</v>
      </c>
      <c r="D40" s="73" t="str">
        <f>VLOOKUP(C40,'Project Status'!C:G,5,FALSE)</f>
        <v>Engineering</v>
      </c>
      <c r="E40" s="39" t="str">
        <f>VLOOKUP(C40,'Project Status'!C:I,7,FALSE)</f>
        <v>1025 16th Avenue - Patio Repairs</v>
      </c>
      <c r="F40" s="291">
        <f>IF(B40="Complete",SUM(G40:J40),VLOOKUP(C40,'Project Status'!C:M,11,FALSE))</f>
        <v>485000</v>
      </c>
      <c r="G40" s="292">
        <f>VLOOKUP(C40,'Project Status'!C:S,17,FALSE)</f>
        <v>0</v>
      </c>
      <c r="H40" s="293">
        <f>VLOOKUP(C40,'Project Status'!C:T,18,FALSE)</f>
        <v>0</v>
      </c>
      <c r="I40" s="294">
        <f>VLOOKUP(C40,'Project Status'!C:U,19,FALSE)</f>
        <v>486135</v>
      </c>
      <c r="J40" s="295">
        <f>VLOOKUP(C40,'Project Status'!C:X,20,FALSE)</f>
        <v>0</v>
      </c>
    </row>
    <row r="41" spans="1:10" x14ac:dyDescent="0.4">
      <c r="A41" s="166">
        <f t="shared" si="0"/>
        <v>36</v>
      </c>
      <c r="B41" s="39" t="str">
        <f>VLOOKUP(C41,'Project Status'!C:K,8,FALSE)</f>
        <v>Complete</v>
      </c>
      <c r="C41" s="72">
        <v>20831</v>
      </c>
      <c r="D41" s="73" t="str">
        <f>VLOOKUP(C41,'Project Status'!C:G,5,FALSE)</f>
        <v>Arts &amp; Science</v>
      </c>
      <c r="E41" s="39" t="str">
        <f>VLOOKUP(C41,'Project Status'!C:I,7,FALSE)</f>
        <v>SC6 - HVAC Upgrades - Feasibility Study</v>
      </c>
      <c r="F41" s="291">
        <f>IF(B41="Complete",SUM(G41:J41),VLOOKUP(C41,'Project Status'!C:M,11,FALSE))</f>
        <v>24000</v>
      </c>
      <c r="G41" s="292">
        <f>VLOOKUP(C41,'Project Status'!C:S,17,FALSE)</f>
        <v>0</v>
      </c>
      <c r="H41" s="293">
        <f>VLOOKUP(C41,'Project Status'!C:T,18,FALSE)</f>
        <v>24000</v>
      </c>
      <c r="I41" s="294">
        <f>VLOOKUP(C41,'Project Status'!C:U,19,FALSE)</f>
        <v>0</v>
      </c>
      <c r="J41" s="295">
        <f>VLOOKUP(C41,'Project Status'!C:X,20,FALSE)</f>
        <v>0</v>
      </c>
    </row>
    <row r="42" spans="1:10" x14ac:dyDescent="0.4">
      <c r="A42" s="166">
        <f t="shared" si="0"/>
        <v>37</v>
      </c>
      <c r="B42" s="39" t="str">
        <f>VLOOKUP(C42,'Project Status'!C:K,8,FALSE)</f>
        <v>Complete</v>
      </c>
      <c r="C42" s="72">
        <v>20832</v>
      </c>
      <c r="D42" s="73" t="str">
        <f>VLOOKUP(C42,'Project Status'!C:G,5,FALSE)</f>
        <v>Arts &amp; Science</v>
      </c>
      <c r="E42" s="39" t="str">
        <f>VLOOKUP(C42,'Project Status'!C:I,7,FALSE)</f>
        <v>Wilson Hall - HVAC Replacement</v>
      </c>
      <c r="F42" s="291">
        <f>IF(B42="Complete",SUM(G42:J42),VLOOKUP(C42,'Project Status'!C:M,11,FALSE))</f>
        <v>24000</v>
      </c>
      <c r="G42" s="292">
        <f>VLOOKUP(C42,'Project Status'!C:S,17,FALSE)</f>
        <v>0</v>
      </c>
      <c r="H42" s="293">
        <f>VLOOKUP(C42,'Project Status'!C:T,18,FALSE)</f>
        <v>24000</v>
      </c>
      <c r="I42" s="294">
        <f>VLOOKUP(C42,'Project Status'!C:U,19,FALSE)</f>
        <v>0</v>
      </c>
      <c r="J42" s="295">
        <f>VLOOKUP(C42,'Project Status'!C:X,20,FALSE)</f>
        <v>0</v>
      </c>
    </row>
    <row r="43" spans="1:10" x14ac:dyDescent="0.4">
      <c r="A43" s="166">
        <f t="shared" si="0"/>
        <v>38</v>
      </c>
      <c r="B43" s="39" t="str">
        <f>VLOOKUP(C43,'Project Status'!C:K,8,FALSE)</f>
        <v>Complete</v>
      </c>
      <c r="C43" s="72">
        <v>20833</v>
      </c>
      <c r="D43" s="73" t="str">
        <f>VLOOKUP(C43,'Project Status'!C:G,5,FALSE)</f>
        <v>Arts &amp; Science</v>
      </c>
      <c r="E43" s="39" t="str">
        <f>VLOOKUP(C43,'Project Status'!C:I,7,FALSE)</f>
        <v>SC5 - HVAC Replacement (Design Services)</v>
      </c>
      <c r="F43" s="291">
        <f>IF(B43="Complete",SUM(G43:J43),VLOOKUP(C43,'Project Status'!C:M,11,FALSE))</f>
        <v>24000</v>
      </c>
      <c r="G43" s="292">
        <f>VLOOKUP(C43,'Project Status'!C:S,17,FALSE)</f>
        <v>0</v>
      </c>
      <c r="H43" s="293">
        <f>VLOOKUP(C43,'Project Status'!C:T,18,FALSE)</f>
        <v>24000</v>
      </c>
      <c r="I43" s="294">
        <f>VLOOKUP(C43,'Project Status'!C:U,19,FALSE)</f>
        <v>0</v>
      </c>
      <c r="J43" s="295">
        <f>VLOOKUP(C43,'Project Status'!C:X,20,FALSE)</f>
        <v>0</v>
      </c>
    </row>
    <row r="44" spans="1:10" x14ac:dyDescent="0.4">
      <c r="A44" s="166">
        <f t="shared" si="0"/>
        <v>39</v>
      </c>
      <c r="B44" s="39" t="str">
        <f>VLOOKUP(C44,'Project Status'!C:K,8,FALSE)</f>
        <v>Active</v>
      </c>
      <c r="C44" s="72">
        <v>20857</v>
      </c>
      <c r="D44" s="73" t="str">
        <f>VLOOKUP(C44,'Project Status'!C:G,5,FALSE)</f>
        <v>Peabody</v>
      </c>
      <c r="E44" s="39" t="str">
        <f>VLOOKUP(C44,'Project Status'!C:I,7,FALSE)</f>
        <v>One Magnolia Circle - Elevator Modernization</v>
      </c>
      <c r="F44" s="291">
        <f>IF(B44="Complete",SUM(G44:J44),VLOOKUP(C44,'Project Status'!C:M,11,FALSE))</f>
        <v>499184</v>
      </c>
      <c r="G44" s="292">
        <f>VLOOKUP(C44,'Project Status'!C:S,17,FALSE)</f>
        <v>0</v>
      </c>
      <c r="H44" s="293">
        <f>VLOOKUP(C44,'Project Status'!C:T,18,FALSE)</f>
        <v>499184</v>
      </c>
      <c r="I44" s="294">
        <f>VLOOKUP(C44,'Project Status'!C:U,19,FALSE)</f>
        <v>0</v>
      </c>
      <c r="J44" s="295">
        <f>VLOOKUP(C44,'Project Status'!C:X,20,FALSE)</f>
        <v>0</v>
      </c>
    </row>
    <row r="45" spans="1:10" x14ac:dyDescent="0.4">
      <c r="A45" s="166">
        <f t="shared" si="0"/>
        <v>40</v>
      </c>
      <c r="B45" s="39" t="str">
        <f>VLOOKUP(C45,'Project Status'!C:K,8,FALSE)</f>
        <v>Complete</v>
      </c>
      <c r="C45" s="72">
        <v>20884</v>
      </c>
      <c r="D45" s="73" t="str">
        <f>VLOOKUP(C45,'Project Status'!C:G,5,FALSE)</f>
        <v>Law</v>
      </c>
      <c r="E45" s="39" t="str">
        <f>VLOOKUP(C45,'Project Status'!C:I,7,FALSE)</f>
        <v>Law School - Exterior Window Painting</v>
      </c>
      <c r="F45" s="291">
        <f>IF(B45="Complete",SUM(G45:J45),VLOOKUP(C45,'Project Status'!C:M,11,FALSE))</f>
        <v>480318</v>
      </c>
      <c r="G45" s="292">
        <f>VLOOKUP(C45,'Project Status'!C:S,17,FALSE)</f>
        <v>0</v>
      </c>
      <c r="H45" s="293">
        <f>VLOOKUP(C45,'Project Status'!C:T,18,FALSE)</f>
        <v>675650</v>
      </c>
      <c r="I45" s="294">
        <f>VLOOKUP(C45,'Project Status'!C:U,19,FALSE)</f>
        <v>0</v>
      </c>
      <c r="J45" s="295">
        <f>VLOOKUP(C45,'Project Status'!C:X,20,FALSE)</f>
        <v>-195332</v>
      </c>
    </row>
    <row r="46" spans="1:10" x14ac:dyDescent="0.4">
      <c r="A46" s="166">
        <f t="shared" si="0"/>
        <v>41</v>
      </c>
      <c r="B46" s="39" t="str">
        <f>VLOOKUP(C46,'Project Status'!C:K,8,FALSE)</f>
        <v>Active</v>
      </c>
      <c r="C46" s="72">
        <v>20885</v>
      </c>
      <c r="D46" s="73" t="str">
        <f>VLOOKUP(C46,'Project Status'!C:G,5,FALSE)</f>
        <v>Arts &amp; Science</v>
      </c>
      <c r="E46" s="39" t="str">
        <f>VLOOKUP(C46,'Project Status'!C:I,7,FALSE)</f>
        <v>NMR - Replace Air Compressors</v>
      </c>
      <c r="F46" s="291">
        <f>IF(B46="Complete",SUM(G46:J46),VLOOKUP(C46,'Project Status'!C:M,11,FALSE))</f>
        <v>130000</v>
      </c>
      <c r="G46" s="292">
        <f>VLOOKUP(C46,'Project Status'!C:S,17,FALSE)</f>
        <v>0</v>
      </c>
      <c r="H46" s="293">
        <f>VLOOKUP(C46,'Project Status'!C:T,18,FALSE)</f>
        <v>113053.4</v>
      </c>
      <c r="I46" s="294">
        <f>VLOOKUP(C46,'Project Status'!C:U,19,FALSE)</f>
        <v>30000</v>
      </c>
      <c r="J46" s="295">
        <f>VLOOKUP(C46,'Project Status'!C:X,20,FALSE)</f>
        <v>-19309.509999999998</v>
      </c>
    </row>
    <row r="47" spans="1:10" x14ac:dyDescent="0.4">
      <c r="A47" s="166">
        <f t="shared" si="0"/>
        <v>42</v>
      </c>
      <c r="B47" s="39" t="str">
        <f>VLOOKUP(C47,'Project Status'!C:K,8,FALSE)</f>
        <v>Complete</v>
      </c>
      <c r="C47" s="72">
        <v>20911</v>
      </c>
      <c r="D47" s="73" t="str">
        <f>VLOOKUP(C47,'Project Status'!C:G,5,FALSE)</f>
        <v>Arts &amp; Science</v>
      </c>
      <c r="E47" s="39" t="str">
        <f>VLOOKUP(C47,'Project Status'!C:I,7,FALSE)</f>
        <v>Buttrick Hall - Elevator Upgrades</v>
      </c>
      <c r="F47" s="291">
        <f>IF(B47="Complete",SUM(G47:J47),VLOOKUP(C47,'Project Status'!C:M,11,FALSE))</f>
        <v>54613</v>
      </c>
      <c r="G47" s="292">
        <f>VLOOKUP(C47,'Project Status'!C:S,17,FALSE)</f>
        <v>0</v>
      </c>
      <c r="H47" s="293">
        <f>VLOOKUP(C47,'Project Status'!C:T,18,FALSE)</f>
        <v>61045</v>
      </c>
      <c r="I47" s="294">
        <f>VLOOKUP(C47,'Project Status'!C:U,19,FALSE)</f>
        <v>0</v>
      </c>
      <c r="J47" s="295">
        <f>VLOOKUP(C47,'Project Status'!C:X,20,FALSE)</f>
        <v>-6432</v>
      </c>
    </row>
    <row r="48" spans="1:10" x14ac:dyDescent="0.4">
      <c r="A48" s="166">
        <f t="shared" si="0"/>
        <v>43</v>
      </c>
      <c r="B48" s="39" t="str">
        <f>VLOOKUP(C48,'Project Status'!C:K,8,FALSE)</f>
        <v>Active</v>
      </c>
      <c r="C48" s="72">
        <v>20912</v>
      </c>
      <c r="D48" s="73" t="str">
        <f>VLOOKUP(C48,'Project Status'!C:G,5,FALSE)</f>
        <v>Arts &amp; Science</v>
      </c>
      <c r="E48" s="39" t="str">
        <f>VLOOKUP(C48,'Project Status'!C:I,7,FALSE)</f>
        <v>Benson Hall - Elevator Upgrades</v>
      </c>
      <c r="F48" s="291">
        <f>IF(B48="Complete",SUM(G48:J48),VLOOKUP(C48,'Project Status'!C:M,11,FALSE))</f>
        <v>59798</v>
      </c>
      <c r="G48" s="292">
        <f>VLOOKUP(C48,'Project Status'!C:S,17,FALSE)</f>
        <v>0</v>
      </c>
      <c r="H48" s="293">
        <f>VLOOKUP(C48,'Project Status'!C:T,18,FALSE)</f>
        <v>59798</v>
      </c>
      <c r="I48" s="294">
        <f>VLOOKUP(C48,'Project Status'!C:U,19,FALSE)</f>
        <v>0</v>
      </c>
      <c r="J48" s="295">
        <f>VLOOKUP(C48,'Project Status'!C:X,20,FALSE)</f>
        <v>0</v>
      </c>
    </row>
    <row r="49" spans="1:10" x14ac:dyDescent="0.4">
      <c r="A49" s="166">
        <f t="shared" si="0"/>
        <v>44</v>
      </c>
      <c r="B49" s="39" t="str">
        <f>VLOOKUP(C49,'Project Status'!C:K,8,FALSE)</f>
        <v>Active</v>
      </c>
      <c r="C49" s="72">
        <v>20913</v>
      </c>
      <c r="D49" s="73" t="str">
        <f>VLOOKUP(C49,'Project Status'!C:G,5,FALSE)</f>
        <v>Arts &amp; Science</v>
      </c>
      <c r="E49" s="39" t="str">
        <f>VLOOKUP(C49,'Project Status'!C:I,7,FALSE)</f>
        <v>Wilson Hall - Elevator Upgrades</v>
      </c>
      <c r="F49" s="291">
        <f>IF(B49="Complete",SUM(G49:J49),VLOOKUP(C49,'Project Status'!C:M,11,FALSE))</f>
        <v>96612</v>
      </c>
      <c r="G49" s="292">
        <f>VLOOKUP(C49,'Project Status'!C:S,17,FALSE)</f>
        <v>0</v>
      </c>
      <c r="H49" s="293">
        <f>VLOOKUP(C49,'Project Status'!C:T,18,FALSE)</f>
        <v>96612</v>
      </c>
      <c r="I49" s="294">
        <f>VLOOKUP(C49,'Project Status'!C:U,19,FALSE)</f>
        <v>0</v>
      </c>
      <c r="J49" s="295">
        <f>VLOOKUP(C49,'Project Status'!C:X,20,FALSE)</f>
        <v>0</v>
      </c>
    </row>
    <row r="50" spans="1:10" x14ac:dyDescent="0.4">
      <c r="A50" s="166">
        <f t="shared" si="0"/>
        <v>45</v>
      </c>
      <c r="B50" s="39" t="str">
        <f>VLOOKUP(C50,'Project Status'!C:K,8,FALSE)</f>
        <v>Active</v>
      </c>
      <c r="C50" s="72">
        <v>20922</v>
      </c>
      <c r="D50" s="73" t="str">
        <f>VLOOKUP(C50,'Project Status'!C:G,5,FALSE)</f>
        <v>Arts &amp; Science</v>
      </c>
      <c r="E50" s="39" t="str">
        <f>VLOOKUP(C50,'Project Status'!C:I,7,FALSE)</f>
        <v>Vaughn Home - Exterior Improvements</v>
      </c>
      <c r="F50" s="291">
        <f>IF(B50="Complete",SUM(G50:J50),VLOOKUP(C50,'Project Status'!C:M,11,FALSE))</f>
        <v>170000</v>
      </c>
      <c r="G50" s="292">
        <f>VLOOKUP(C50,'Project Status'!C:S,17,FALSE)</f>
        <v>0</v>
      </c>
      <c r="H50" s="293">
        <f>VLOOKUP(C50,'Project Status'!C:T,18,FALSE)</f>
        <v>197150</v>
      </c>
      <c r="I50" s="294">
        <f>VLOOKUP(C50,'Project Status'!C:U,19,FALSE)</f>
        <v>0</v>
      </c>
      <c r="J50" s="295">
        <f>VLOOKUP(C50,'Project Status'!C:X,20,FALSE)</f>
        <v>0</v>
      </c>
    </row>
    <row r="51" spans="1:10" x14ac:dyDescent="0.4">
      <c r="A51" s="166">
        <f t="shared" si="0"/>
        <v>46</v>
      </c>
      <c r="B51" s="39" t="str">
        <f>VLOOKUP(C51,'Project Status'!C:K,8,FALSE)</f>
        <v>Complete</v>
      </c>
      <c r="C51" s="72">
        <v>20924</v>
      </c>
      <c r="D51" s="73" t="str">
        <f>VLOOKUP(C51,'Project Status'!C:G,5,FALSE)</f>
        <v>School of Nursing</v>
      </c>
      <c r="E51" s="39" t="str">
        <f>VLOOKUP(C51,'Project Status'!C:I,7,FALSE)</f>
        <v>Frist Hall - Stairwell Roof Replacement</v>
      </c>
      <c r="F51" s="291">
        <f>IF(B51="Complete",SUM(G51:J51),VLOOKUP(C51,'Project Status'!C:M,11,FALSE))</f>
        <v>24500</v>
      </c>
      <c r="G51" s="292">
        <f>VLOOKUP(C51,'Project Status'!C:S,17,FALSE)</f>
        <v>0</v>
      </c>
      <c r="H51" s="293">
        <f>VLOOKUP(C51,'Project Status'!C:T,18,FALSE)</f>
        <v>30570</v>
      </c>
      <c r="I51" s="294">
        <f>VLOOKUP(C51,'Project Status'!C:U,19,FALSE)</f>
        <v>-6070</v>
      </c>
      <c r="J51" s="295">
        <f>VLOOKUP(C51,'Project Status'!C:X,20,FALSE)</f>
        <v>0</v>
      </c>
    </row>
    <row r="52" spans="1:10" x14ac:dyDescent="0.4">
      <c r="A52" s="166">
        <f t="shared" si="0"/>
        <v>47</v>
      </c>
      <c r="B52" s="39" t="str">
        <f>VLOOKUP(C52,'Project Status'!C:K,8,FALSE)</f>
        <v>Active</v>
      </c>
      <c r="C52" s="72">
        <v>20925</v>
      </c>
      <c r="D52" s="73" t="str">
        <f>VLOOKUP(C52,'Project Status'!C:G,5,FALSE)</f>
        <v>Blair</v>
      </c>
      <c r="E52" s="39" t="str">
        <f>VLOOKUP(C52,'Project Status'!C:I,7,FALSE)</f>
        <v>Blair School of Music - AHU 2/3 Replacement  - Phase 2 - FY26</v>
      </c>
      <c r="F52" s="291">
        <f>IF(B52="Complete",SUM(G52:J52),VLOOKUP(C52,'Project Status'!C:M,11,FALSE))</f>
        <v>2125000</v>
      </c>
      <c r="G52" s="292">
        <f>VLOOKUP(C52,'Project Status'!C:S,17,FALSE)</f>
        <v>0</v>
      </c>
      <c r="H52" s="293">
        <f>VLOOKUP(C52,'Project Status'!C:T,18,FALSE)</f>
        <v>0</v>
      </c>
      <c r="I52" s="294">
        <f>VLOOKUP(C52,'Project Status'!C:U,19,FALSE)</f>
        <v>409000</v>
      </c>
      <c r="J52" s="295">
        <f>VLOOKUP(C52,'Project Status'!C:X,20,FALSE)</f>
        <v>1716000</v>
      </c>
    </row>
    <row r="53" spans="1:10" x14ac:dyDescent="0.4">
      <c r="A53" s="166">
        <f t="shared" si="0"/>
        <v>48</v>
      </c>
      <c r="B53" s="39" t="str">
        <f>VLOOKUP(C53,'Project Status'!C:K,8,FALSE)</f>
        <v>Active</v>
      </c>
      <c r="C53" s="72">
        <v>20936</v>
      </c>
      <c r="D53" s="73" t="str">
        <f>VLOOKUP(C53,'Project Status'!C:G,5,FALSE)</f>
        <v>Arts &amp; Science</v>
      </c>
      <c r="E53" s="39" t="str">
        <f>VLOOKUP(C53,'Project Status'!C:I,7,FALSE)</f>
        <v>Wilson Hall - Lighting Retrofit for 103 and 126</v>
      </c>
      <c r="F53" s="291">
        <f>IF(B53="Complete",SUM(G53:J53),VLOOKUP(C53,'Project Status'!C:M,11,FALSE))</f>
        <v>405000</v>
      </c>
      <c r="G53" s="292">
        <f>VLOOKUP(C53,'Project Status'!C:S,17,FALSE)</f>
        <v>0</v>
      </c>
      <c r="H53" s="293">
        <f>VLOOKUP(C53,'Project Status'!C:T,18,FALSE)</f>
        <v>404655.91</v>
      </c>
      <c r="I53" s="294">
        <f>VLOOKUP(C53,'Project Status'!C:U,19,FALSE)</f>
        <v>0</v>
      </c>
      <c r="J53" s="295">
        <f>VLOOKUP(C53,'Project Status'!C:X,20,FALSE)</f>
        <v>0</v>
      </c>
    </row>
    <row r="54" spans="1:10" x14ac:dyDescent="0.4">
      <c r="A54" s="166">
        <f t="shared" si="0"/>
        <v>49</v>
      </c>
      <c r="B54" s="39" t="str">
        <f>VLOOKUP(C54,'Project Status'!C:K,8,FALSE)</f>
        <v>Active</v>
      </c>
      <c r="C54" s="72">
        <v>20940</v>
      </c>
      <c r="D54" s="73" t="str">
        <f>VLOOKUP(C54,'Project Status'!C:G,5,FALSE)</f>
        <v>Engineering</v>
      </c>
      <c r="E54" s="39" t="str">
        <f>VLOOKUP(C54,'Project Status'!C:I,7,FALSE)</f>
        <v>1025 16th Avenue - Security System Replacement</v>
      </c>
      <c r="F54" s="291">
        <f>IF(B54="Complete",SUM(G54:J54),VLOOKUP(C54,'Project Status'!C:M,11,FALSE))</f>
        <v>310000</v>
      </c>
      <c r="G54" s="292">
        <f>VLOOKUP(C54,'Project Status'!C:S,17,FALSE)</f>
        <v>0</v>
      </c>
      <c r="H54" s="293">
        <f>VLOOKUP(C54,'Project Status'!C:T,18,FALSE)</f>
        <v>0</v>
      </c>
      <c r="I54" s="294">
        <f>VLOOKUP(C54,'Project Status'!C:U,19,FALSE)</f>
        <v>309548.64</v>
      </c>
      <c r="J54" s="295">
        <f>VLOOKUP(C54,'Project Status'!C:X,20,FALSE)</f>
        <v>0</v>
      </c>
    </row>
    <row r="55" spans="1:10" x14ac:dyDescent="0.4">
      <c r="A55" s="166">
        <f t="shared" si="0"/>
        <v>50</v>
      </c>
      <c r="B55" s="39" t="str">
        <f>VLOOKUP(C55,'Project Status'!C:K,8,FALSE)</f>
        <v>Complete</v>
      </c>
      <c r="C55" s="72">
        <v>20945</v>
      </c>
      <c r="D55" s="73" t="str">
        <f>VLOOKUP(C55,'Project Status'!C:G,5,FALSE)</f>
        <v>Other</v>
      </c>
      <c r="E55" s="39" t="str">
        <f>VLOOKUP(C55,'Project Status'!C:I,7,FALSE)</f>
        <v>Seigenthaler Building - HVAC Improvements</v>
      </c>
      <c r="F55" s="291">
        <f>IF(B55="Complete",SUM(G55:J55),VLOOKUP(C55,'Project Status'!C:M,11,FALSE))</f>
        <v>70200</v>
      </c>
      <c r="G55" s="292">
        <f>VLOOKUP(C55,'Project Status'!C:S,17,FALSE)</f>
        <v>0</v>
      </c>
      <c r="H55" s="293">
        <f>VLOOKUP(C55,'Project Status'!C:T,18,FALSE)</f>
        <v>99000</v>
      </c>
      <c r="I55" s="294">
        <f>VLOOKUP(C55,'Project Status'!C:U,19,FALSE)</f>
        <v>0</v>
      </c>
      <c r="J55" s="295">
        <f>VLOOKUP(C55,'Project Status'!C:X,20,FALSE)</f>
        <v>-28800</v>
      </c>
    </row>
    <row r="56" spans="1:10" x14ac:dyDescent="0.4">
      <c r="A56" s="166">
        <f t="shared" si="0"/>
        <v>51</v>
      </c>
      <c r="B56" s="39" t="str">
        <f>VLOOKUP(C56,'Project Status'!C:K,8,FALSE)</f>
        <v>Active</v>
      </c>
      <c r="C56" s="72">
        <v>20958</v>
      </c>
      <c r="D56" s="73" t="str">
        <f>VLOOKUP(C56,'Project Status'!C:G,5,FALSE)</f>
        <v>Arts &amp; Science</v>
      </c>
      <c r="E56" s="39" t="str">
        <f>VLOOKUP(C56,'Project Status'!C:I,7,FALSE)</f>
        <v>Furman Hall - Elevator Modernization</v>
      </c>
      <c r="F56" s="291">
        <f>IF(B56="Complete",SUM(G56:J56),VLOOKUP(C56,'Project Status'!C:M,11,FALSE))</f>
        <v>290000</v>
      </c>
      <c r="G56" s="292">
        <f>VLOOKUP(C56,'Project Status'!C:S,17,FALSE)</f>
        <v>0</v>
      </c>
      <c r="H56" s="293">
        <f>VLOOKUP(C56,'Project Status'!C:T,18,FALSE)</f>
        <v>18175</v>
      </c>
      <c r="I56" s="294">
        <f>VLOOKUP(C56,'Project Status'!C:U,19,FALSE)</f>
        <v>243454</v>
      </c>
      <c r="J56" s="295">
        <f>VLOOKUP(C56,'Project Status'!C:X,20,FALSE)</f>
        <v>0</v>
      </c>
    </row>
    <row r="57" spans="1:10" x14ac:dyDescent="0.4">
      <c r="A57" s="166">
        <f t="shared" si="0"/>
        <v>52</v>
      </c>
      <c r="B57" s="39" t="str">
        <f>VLOOKUP(C57,'Project Status'!C:K,8,FALSE)</f>
        <v>Active</v>
      </c>
      <c r="C57" s="72">
        <v>20962</v>
      </c>
      <c r="D57" s="73" t="str">
        <f>VLOOKUP(C57,'Project Status'!C:G,5,FALSE)</f>
        <v>Arts &amp; Science</v>
      </c>
      <c r="E57" s="39" t="str">
        <f>VLOOKUP(C57,'Project Status'!C:I,7,FALSE)</f>
        <v>Vaughn Home - Roof Replacement</v>
      </c>
      <c r="F57" s="291">
        <f>IF(B57="Complete",SUM(G57:J57),VLOOKUP(C57,'Project Status'!C:M,11,FALSE))</f>
        <v>1750000</v>
      </c>
      <c r="G57" s="292">
        <f>VLOOKUP(C57,'Project Status'!C:S,17,FALSE)</f>
        <v>0</v>
      </c>
      <c r="H57" s="293">
        <f>VLOOKUP(C57,'Project Status'!C:T,18,FALSE)</f>
        <v>0</v>
      </c>
      <c r="I57" s="294">
        <f>VLOOKUP(C57,'Project Status'!C:U,19,FALSE)</f>
        <v>1800</v>
      </c>
      <c r="J57" s="295">
        <f>VLOOKUP(C57,'Project Status'!C:X,20,FALSE)</f>
        <v>0</v>
      </c>
    </row>
    <row r="58" spans="1:10" x14ac:dyDescent="0.4">
      <c r="A58" s="166">
        <f t="shared" si="0"/>
        <v>53</v>
      </c>
      <c r="B58" s="39" t="str">
        <f>VLOOKUP(C58,'Project Status'!C:K,8,FALSE)</f>
        <v>Active</v>
      </c>
      <c r="C58" s="72">
        <v>20979</v>
      </c>
      <c r="D58" s="73" t="str">
        <f>VLOOKUP(C58,'Project Status'!C:G,5,FALSE)</f>
        <v>Engineering</v>
      </c>
      <c r="E58" s="39" t="str">
        <f>VLOOKUP(C58,'Project Status'!C:I,7,FALSE)</f>
        <v>1025 16th Avenue - Roof Replacement</v>
      </c>
      <c r="F58" s="291">
        <f>IF(B58="Complete",SUM(G58:J58),VLOOKUP(C58,'Project Status'!C:M,11,FALSE))</f>
        <v>270000</v>
      </c>
      <c r="G58" s="292">
        <f>VLOOKUP(C58,'Project Status'!C:S,17,FALSE)</f>
        <v>0</v>
      </c>
      <c r="H58" s="293">
        <f>VLOOKUP(C58,'Project Status'!C:T,18,FALSE)</f>
        <v>0</v>
      </c>
      <c r="I58" s="294">
        <f>VLOOKUP(C58,'Project Status'!C:U,19,FALSE)</f>
        <v>529750</v>
      </c>
      <c r="J58" s="295">
        <f>VLOOKUP(C58,'Project Status'!C:X,20,FALSE)</f>
        <v>51438</v>
      </c>
    </row>
    <row r="59" spans="1:10" x14ac:dyDescent="0.4">
      <c r="A59" s="166">
        <f t="shared" si="0"/>
        <v>54</v>
      </c>
      <c r="B59" s="39" t="str">
        <f>VLOOKUP(C59,'Project Status'!C:K,8,FALSE)</f>
        <v>Active</v>
      </c>
      <c r="C59" s="72">
        <v>20982</v>
      </c>
      <c r="D59" s="73" t="str">
        <f>VLOOKUP(C59,'Project Status'!C:G,5,FALSE)</f>
        <v>Law</v>
      </c>
      <c r="E59" s="39" t="str">
        <f>VLOOKUP(C59,'Project Status'!C:I,7,FALSE)</f>
        <v>Law School - Elevator 1 Modernization</v>
      </c>
      <c r="F59" s="291">
        <f>IF(B59="Complete",SUM(G59:J59),VLOOKUP(C59,'Project Status'!C:M,11,FALSE))</f>
        <v>272000</v>
      </c>
      <c r="G59" s="292">
        <f>VLOOKUP(C59,'Project Status'!C:S,17,FALSE)</f>
        <v>0</v>
      </c>
      <c r="H59" s="293">
        <f>VLOOKUP(C59,'Project Status'!C:T,18,FALSE)</f>
        <v>18175</v>
      </c>
      <c r="I59" s="294">
        <f>VLOOKUP(C59,'Project Status'!C:U,19,FALSE)</f>
        <v>253825</v>
      </c>
      <c r="J59" s="295">
        <f>VLOOKUP(C59,'Project Status'!C:X,20,FALSE)</f>
        <v>0</v>
      </c>
    </row>
    <row r="60" spans="1:10" x14ac:dyDescent="0.4">
      <c r="A60" s="166">
        <f t="shared" si="0"/>
        <v>55</v>
      </c>
      <c r="B60" s="39" t="str">
        <f>VLOOKUP(C60,'Project Status'!C:K,8,FALSE)</f>
        <v>Active</v>
      </c>
      <c r="C60" s="72">
        <v>20984</v>
      </c>
      <c r="D60" s="73" t="str">
        <f>VLOOKUP(C60,'Project Status'!C:G,5,FALSE)</f>
        <v>Arts &amp; Science</v>
      </c>
      <c r="E60" s="39" t="str">
        <f>VLOOKUP(C60,'Project Status'!C:I,7,FALSE)</f>
        <v>Wilson Hall - 1st Floor Urinal Replacement</v>
      </c>
      <c r="F60" s="291">
        <f>IF(B60="Complete",SUM(G60:J60),VLOOKUP(C60,'Project Status'!C:M,11,FALSE))</f>
        <v>167000</v>
      </c>
      <c r="G60" s="292">
        <f>VLOOKUP(C60,'Project Status'!C:S,17,FALSE)</f>
        <v>0</v>
      </c>
      <c r="H60" s="293">
        <f>VLOOKUP(C60,'Project Status'!C:T,18,FALSE)</f>
        <v>0</v>
      </c>
      <c r="I60" s="294">
        <f>VLOOKUP(C60,'Project Status'!C:U,19,FALSE)</f>
        <v>167000</v>
      </c>
      <c r="J60" s="295">
        <f>VLOOKUP(C60,'Project Status'!C:X,20,FALSE)</f>
        <v>0</v>
      </c>
    </row>
    <row r="61" spans="1:10" x14ac:dyDescent="0.4">
      <c r="A61" s="166">
        <f t="shared" si="0"/>
        <v>56</v>
      </c>
      <c r="B61" s="39" t="str">
        <f>VLOOKUP(C61,'Project Status'!C:K,8,FALSE)</f>
        <v>Active</v>
      </c>
      <c r="C61" s="72">
        <v>21004</v>
      </c>
      <c r="D61" s="73" t="str">
        <f>VLOOKUP(C61,'Project Status'!C:G,5,FALSE)</f>
        <v>Arts &amp; Science</v>
      </c>
      <c r="E61" s="39" t="str">
        <f>VLOOKUP(C61,'Project Status'!C:I,7,FALSE)</f>
        <v>SC5 - HVAC Upgrade Floors 1 and 2 (Phase 1)</v>
      </c>
      <c r="F61" s="291">
        <f>IF(B61="Complete",SUM(G61:J61),VLOOKUP(C61,'Project Status'!C:M,11,FALSE))</f>
        <v>940000</v>
      </c>
      <c r="G61" s="292">
        <f>VLOOKUP(C61,'Project Status'!C:S,17,FALSE)</f>
        <v>0</v>
      </c>
      <c r="H61" s="293">
        <f>VLOOKUP(C61,'Project Status'!C:T,18,FALSE)</f>
        <v>0</v>
      </c>
      <c r="I61" s="294">
        <f>VLOOKUP(C61,'Project Status'!C:U,19,FALSE)</f>
        <v>992453</v>
      </c>
      <c r="J61" s="295">
        <f>VLOOKUP(C61,'Project Status'!C:X,20,FALSE)</f>
        <v>0</v>
      </c>
    </row>
    <row r="62" spans="1:10" x14ac:dyDescent="0.4">
      <c r="A62" s="166">
        <f t="shared" si="0"/>
        <v>57</v>
      </c>
      <c r="B62" s="39" t="str">
        <f>VLOOKUP(C62,'Project Status'!C:K,8,FALSE)</f>
        <v>Deferred / On Hold</v>
      </c>
      <c r="C62" s="72">
        <v>21005</v>
      </c>
      <c r="D62" s="73" t="str">
        <f>VLOOKUP(C62,'Project Status'!C:G,5,FALSE)</f>
        <v>Arts &amp; Science</v>
      </c>
      <c r="E62" s="39" t="str">
        <f>VLOOKUP(C62,'Project Status'!C:I,7,FALSE)</f>
        <v>SC5 - HVAC Upgrade Floors 4, 5, and 7 (Phase 2)</v>
      </c>
      <c r="F62" s="291">
        <f>IF(B62="Complete",SUM(G62:J62),VLOOKUP(C62,'Project Status'!C:M,11,FALSE))</f>
        <v>0</v>
      </c>
      <c r="G62" s="292">
        <f>VLOOKUP(C62,'Project Status'!C:S,17,FALSE)</f>
        <v>0</v>
      </c>
      <c r="H62" s="293">
        <f>VLOOKUP(C62,'Project Status'!C:T,18,FALSE)</f>
        <v>0</v>
      </c>
      <c r="I62" s="294">
        <f>VLOOKUP(C62,'Project Status'!C:U,19,FALSE)</f>
        <v>0</v>
      </c>
      <c r="J62" s="295">
        <f>VLOOKUP(C62,'Project Status'!C:X,20,FALSE)</f>
        <v>0</v>
      </c>
    </row>
    <row r="63" spans="1:10" x14ac:dyDescent="0.4">
      <c r="A63" s="166">
        <f t="shared" si="0"/>
        <v>58</v>
      </c>
      <c r="B63" s="39" t="str">
        <f>VLOOKUP(C63,'Project Status'!C:K,8,FALSE)</f>
        <v>Deferred / On Hold</v>
      </c>
      <c r="C63" s="72">
        <v>21006</v>
      </c>
      <c r="D63" s="73" t="str">
        <f>VLOOKUP(C63,'Project Status'!C:G,5,FALSE)</f>
        <v>Engineering</v>
      </c>
      <c r="E63" s="39" t="str">
        <f>VLOOKUP(C63,'Project Status'!C:I,7,FALSE)</f>
        <v>SC5 - HVAC Upgrade Floors 3 and 6 (Phase 3)</v>
      </c>
      <c r="F63" s="291">
        <f>IF(B63="Complete",SUM(G63:J63),VLOOKUP(C63,'Project Status'!C:M,11,FALSE))</f>
        <v>0</v>
      </c>
      <c r="G63" s="292">
        <f>VLOOKUP(C63,'Project Status'!C:S,17,FALSE)</f>
        <v>0</v>
      </c>
      <c r="H63" s="293">
        <f>VLOOKUP(C63,'Project Status'!C:T,18,FALSE)</f>
        <v>0</v>
      </c>
      <c r="I63" s="294">
        <f>VLOOKUP(C63,'Project Status'!C:U,19,FALSE)</f>
        <v>0</v>
      </c>
      <c r="J63" s="295">
        <f>VLOOKUP(C63,'Project Status'!C:X,20,FALSE)</f>
        <v>0</v>
      </c>
    </row>
    <row r="64" spans="1:10" x14ac:dyDescent="0.4">
      <c r="A64" s="166">
        <f t="shared" si="0"/>
        <v>59</v>
      </c>
      <c r="B64" s="39" t="str">
        <f>VLOOKUP(C64,'Project Status'!C:K,8,FALSE)</f>
        <v>Deferred / On Hold</v>
      </c>
      <c r="C64" s="72">
        <v>21007</v>
      </c>
      <c r="D64" s="73" t="str">
        <f>VLOOKUP(C64,'Project Status'!C:G,5,FALSE)</f>
        <v>Engineering</v>
      </c>
      <c r="E64" s="39" t="str">
        <f>VLOOKUP(C64,'Project Status'!C:I,7,FALSE)</f>
        <v>SC5 - HVAC Upgrade Floors 8 and 9 (Phase 4)</v>
      </c>
      <c r="F64" s="291">
        <f>IF(B64="Complete",SUM(G64:J64),VLOOKUP(C64,'Project Status'!C:M,11,FALSE))</f>
        <v>0</v>
      </c>
      <c r="G64" s="292">
        <f>VLOOKUP(C64,'Project Status'!C:S,17,FALSE)</f>
        <v>0</v>
      </c>
      <c r="H64" s="293">
        <f>VLOOKUP(C64,'Project Status'!C:T,18,FALSE)</f>
        <v>0</v>
      </c>
      <c r="I64" s="294">
        <f>VLOOKUP(C64,'Project Status'!C:U,19,FALSE)</f>
        <v>0</v>
      </c>
      <c r="J64" s="295">
        <f>VLOOKUP(C64,'Project Status'!C:X,20,FALSE)</f>
        <v>0</v>
      </c>
    </row>
    <row r="65" spans="1:10" x14ac:dyDescent="0.4">
      <c r="A65" s="166">
        <f t="shared" si="0"/>
        <v>60</v>
      </c>
      <c r="B65" s="39" t="str">
        <f>VLOOKUP(C65,'Project Status'!C:K,8,FALSE)</f>
        <v>Active</v>
      </c>
      <c r="C65" s="72">
        <v>21010</v>
      </c>
      <c r="D65" s="73" t="str">
        <f>VLOOKUP(C65,'Project Status'!C:G,5,FALSE)</f>
        <v>Engineering</v>
      </c>
      <c r="E65" s="39" t="str">
        <f>VLOOKUP(C65,'Project Status'!C:I,7,FALSE)</f>
        <v>Featheringill-Jacobs Hall - Hot Water Tank Replacement</v>
      </c>
      <c r="F65" s="291">
        <f>IF(B65="Complete",SUM(G65:J65),VLOOKUP(C65,'Project Status'!C:M,11,FALSE))</f>
        <v>125000</v>
      </c>
      <c r="G65" s="292">
        <f>VLOOKUP(C65,'Project Status'!C:S,17,FALSE)</f>
        <v>0</v>
      </c>
      <c r="H65" s="293">
        <f>VLOOKUP(C65,'Project Status'!C:T,18,FALSE)</f>
        <v>0</v>
      </c>
      <c r="I65" s="294">
        <f>VLOOKUP(C65,'Project Status'!C:U,19,FALSE)</f>
        <v>126024</v>
      </c>
      <c r="J65" s="295">
        <f>VLOOKUP(C65,'Project Status'!C:X,20,FALSE)</f>
        <v>-13199.16</v>
      </c>
    </row>
    <row r="66" spans="1:10" x14ac:dyDescent="0.4">
      <c r="A66" s="166">
        <f t="shared" si="0"/>
        <v>61</v>
      </c>
      <c r="B66" s="39" t="str">
        <f>VLOOKUP(C66,'Project Status'!C:K,8,FALSE)</f>
        <v>Active</v>
      </c>
      <c r="C66" s="72">
        <v>21035</v>
      </c>
      <c r="D66" s="73" t="str">
        <f>VLOOKUP(C66,'Project Status'!C:G,5,FALSE)</f>
        <v>Law</v>
      </c>
      <c r="E66" s="39" t="str">
        <f>VLOOKUP(C66,'Project Status'!C:I,7,FALSE)</f>
        <v>Law School - Roof Ladders</v>
      </c>
      <c r="F66" s="291">
        <f>IF(B66="Complete",SUM(G66:J66),VLOOKUP(C66,'Project Status'!C:M,11,FALSE))</f>
        <v>50000</v>
      </c>
      <c r="G66" s="292">
        <f>VLOOKUP(C66,'Project Status'!C:S,17,FALSE)</f>
        <v>0</v>
      </c>
      <c r="H66" s="293">
        <f>VLOOKUP(C66,'Project Status'!C:T,18,FALSE)</f>
        <v>0</v>
      </c>
      <c r="I66" s="294">
        <f>VLOOKUP(C66,'Project Status'!C:U,19,FALSE)</f>
        <v>36108.160000000003</v>
      </c>
      <c r="J66" s="295">
        <f>VLOOKUP(C66,'Project Status'!C:X,20,FALSE)</f>
        <v>0</v>
      </c>
    </row>
    <row r="67" spans="1:10" x14ac:dyDescent="0.4">
      <c r="A67" s="166">
        <f t="shared" si="0"/>
        <v>62</v>
      </c>
      <c r="B67" s="39" t="str">
        <f>VLOOKUP(C67,'Project Status'!C:K,8,FALSE)</f>
        <v>Active</v>
      </c>
      <c r="C67" s="72">
        <v>21051</v>
      </c>
      <c r="D67" s="73" t="str">
        <f>VLOOKUP(C67,'Project Status'!C:G,5,FALSE)</f>
        <v>School of Medicine</v>
      </c>
      <c r="E67" s="39" t="str">
        <f>VLOOKUP(C67,'Project Status'!C:I,7,FALSE)</f>
        <v>MRBIII - 5th Floor Controls</v>
      </c>
      <c r="F67" s="291">
        <f>IF(B67="Complete",SUM(G67:J67),VLOOKUP(C67,'Project Status'!C:M,11,FALSE))</f>
        <v>0</v>
      </c>
      <c r="G67" s="292">
        <f>VLOOKUP(C67,'Project Status'!C:S,17,FALSE)</f>
        <v>0</v>
      </c>
      <c r="H67" s="293">
        <f>VLOOKUP(C67,'Project Status'!C:T,18,FALSE)</f>
        <v>0</v>
      </c>
      <c r="I67" s="294">
        <f>VLOOKUP(C67,'Project Status'!C:U,19,FALSE)</f>
        <v>0</v>
      </c>
      <c r="J67" s="295">
        <f>VLOOKUP(C67,'Project Status'!C:X,20,FALSE)</f>
        <v>27500</v>
      </c>
    </row>
    <row r="68" spans="1:10" x14ac:dyDescent="0.4">
      <c r="A68" s="166">
        <f t="shared" si="0"/>
        <v>63</v>
      </c>
      <c r="B68" s="39" t="str">
        <f>VLOOKUP(C68,'Project Status'!C:K,8,FALSE)</f>
        <v>Active</v>
      </c>
      <c r="C68" s="72">
        <v>21066</v>
      </c>
      <c r="D68" s="73" t="str">
        <f>VLOOKUP(C68,'Project Status'!C:G,5,FALSE)</f>
        <v>Arts &amp; Science</v>
      </c>
      <c r="E68" s="39" t="str">
        <f>VLOOKUP(C68,'Project Status'!C:I,7,FALSE)</f>
        <v>SC2 - MEP Feasibility Study</v>
      </c>
      <c r="F68" s="291">
        <f>IF(B68="Complete",SUM(G68:J68),VLOOKUP(C68,'Project Status'!C:M,11,FALSE))</f>
        <v>29160</v>
      </c>
      <c r="G68" s="292">
        <f>VLOOKUP(C68,'Project Status'!C:S,17,FALSE)</f>
        <v>0</v>
      </c>
      <c r="H68" s="293">
        <f>VLOOKUP(C68,'Project Status'!C:T,18,FALSE)</f>
        <v>0</v>
      </c>
      <c r="I68" s="294">
        <f>VLOOKUP(C68,'Project Status'!C:U,19,FALSE)</f>
        <v>29160</v>
      </c>
      <c r="J68" s="295">
        <f>VLOOKUP(C68,'Project Status'!C:X,20,FALSE)</f>
        <v>0</v>
      </c>
    </row>
    <row r="69" spans="1:10" x14ac:dyDescent="0.4">
      <c r="A69" s="166">
        <f t="shared" si="0"/>
        <v>64</v>
      </c>
      <c r="B69" s="39" t="str">
        <f>VLOOKUP(C69,'Project Status'!C:K,8,FALSE)</f>
        <v>Active</v>
      </c>
      <c r="C69" s="72">
        <v>21067</v>
      </c>
      <c r="D69" s="73" t="str">
        <f>VLOOKUP(C69,'Project Status'!C:G,5,FALSE)</f>
        <v>School of Nursing</v>
      </c>
      <c r="E69" s="39" t="str">
        <f>VLOOKUP(C69,'Project Status'!C:I,7,FALSE)</f>
        <v>Godchaux Hall - Phase 2 HVAC Upgrades and Roof Replacement</v>
      </c>
      <c r="F69" s="291">
        <f>IF(B69="Complete",SUM(G69:J69),VLOOKUP(C69,'Project Status'!C:M,11,FALSE))</f>
        <v>2500000</v>
      </c>
      <c r="G69" s="292">
        <f>VLOOKUP(C69,'Project Status'!C:S,17,FALSE)</f>
        <v>0</v>
      </c>
      <c r="H69" s="293">
        <f>VLOOKUP(C69,'Project Status'!C:T,18,FALSE)</f>
        <v>0</v>
      </c>
      <c r="I69" s="294">
        <f>VLOOKUP(C69,'Project Status'!C:U,19,FALSE)</f>
        <v>46600</v>
      </c>
      <c r="J69" s="295">
        <f>VLOOKUP(C69,'Project Status'!C:X,20,FALSE)</f>
        <v>0</v>
      </c>
    </row>
    <row r="70" spans="1:10" x14ac:dyDescent="0.4">
      <c r="A70" s="166">
        <f t="shared" si="0"/>
        <v>65</v>
      </c>
      <c r="B70" s="39" t="str">
        <f>VLOOKUP(C70,'Project Status'!C:K,8,FALSE)</f>
        <v>Active</v>
      </c>
      <c r="C70" s="72">
        <v>21068</v>
      </c>
      <c r="D70" s="73" t="str">
        <f>VLOOKUP(C70,'Project Status'!C:G,5,FALSE)</f>
        <v>Arts &amp; Science</v>
      </c>
      <c r="E70" s="39" t="str">
        <f>VLOOKUP(C70,'Project Status'!C:I,7,FALSE)</f>
        <v>Buttrick Hall - Insulate First Floor Slab</v>
      </c>
      <c r="F70" s="291">
        <f>IF(B70="Complete",SUM(G70:J70),VLOOKUP(C70,'Project Status'!C:M,11,FALSE))</f>
        <v>0</v>
      </c>
      <c r="G70" s="292">
        <f>VLOOKUP(C70,'Project Status'!C:S,17,FALSE)</f>
        <v>0</v>
      </c>
      <c r="H70" s="293">
        <f>VLOOKUP(C70,'Project Status'!C:T,18,FALSE)</f>
        <v>0</v>
      </c>
      <c r="I70" s="294">
        <f>VLOOKUP(C70,'Project Status'!C:U,19,FALSE)</f>
        <v>34837.4</v>
      </c>
      <c r="J70" s="295">
        <f>VLOOKUP(C70,'Project Status'!C:X,20,FALSE)</f>
        <v>0</v>
      </c>
    </row>
    <row r="71" spans="1:10" x14ac:dyDescent="0.4">
      <c r="A71" s="166">
        <f t="shared" si="0"/>
        <v>66</v>
      </c>
      <c r="B71" s="39" t="str">
        <f>VLOOKUP(C71,'Project Status'!C:K,8,FALSE)</f>
        <v>Active</v>
      </c>
      <c r="C71" s="72">
        <v>21070</v>
      </c>
      <c r="D71" s="73" t="str">
        <f>VLOOKUP(C71,'Project Status'!C:G,5,FALSE)</f>
        <v>Engineering</v>
      </c>
      <c r="E71" s="39" t="str">
        <f>VLOOKUP(C71,'Project Status'!C:I,7,FALSE)</f>
        <v>Olin Hall - Exterior Facade Cleaning</v>
      </c>
      <c r="F71" s="291">
        <f>IF(B71="Complete",SUM(G71:J71),VLOOKUP(C71,'Project Status'!C:M,11,FALSE))</f>
        <v>848722</v>
      </c>
      <c r="G71" s="292">
        <f>VLOOKUP(C71,'Project Status'!C:S,17,FALSE)</f>
        <v>0</v>
      </c>
      <c r="H71" s="293">
        <f>VLOOKUP(C71,'Project Status'!C:T,18,FALSE)</f>
        <v>0</v>
      </c>
      <c r="I71" s="294">
        <f>VLOOKUP(C71,'Project Status'!C:U,19,FALSE)</f>
        <v>392042.1</v>
      </c>
      <c r="J71" s="295">
        <f>VLOOKUP(C71,'Project Status'!C:X,20,FALSE)</f>
        <v>0</v>
      </c>
    </row>
    <row r="72" spans="1:10" x14ac:dyDescent="0.4">
      <c r="A72" s="166">
        <f t="shared" ref="A72:A80" si="1">A71+1</f>
        <v>67</v>
      </c>
      <c r="B72" s="39" t="str">
        <f>VLOOKUP(C72,'Project Status'!C:K,8,FALSE)</f>
        <v>Active</v>
      </c>
      <c r="C72" s="72">
        <v>21071</v>
      </c>
      <c r="D72" s="73" t="str">
        <f>VLOOKUP(C72,'Project Status'!C:G,5,FALSE)</f>
        <v>Arts &amp; Science</v>
      </c>
      <c r="E72" s="39" t="str">
        <f>VLOOKUP(C72,'Project Status'!C:I,7,FALSE)</f>
        <v>SC1 - MEP Feasibility Study</v>
      </c>
      <c r="F72" s="291">
        <f>IF(B72="Complete",SUM(G72:J72),VLOOKUP(C72,'Project Status'!C:M,11,FALSE))</f>
        <v>19440</v>
      </c>
      <c r="G72" s="292">
        <f>VLOOKUP(C72,'Project Status'!C:S,17,FALSE)</f>
        <v>0</v>
      </c>
      <c r="H72" s="293">
        <f>VLOOKUP(C72,'Project Status'!C:T,18,FALSE)</f>
        <v>0</v>
      </c>
      <c r="I72" s="294">
        <f>VLOOKUP(C72,'Project Status'!C:U,19,FALSE)</f>
        <v>19440</v>
      </c>
      <c r="J72" s="295">
        <f>VLOOKUP(C72,'Project Status'!C:X,20,FALSE)</f>
        <v>0</v>
      </c>
    </row>
    <row r="73" spans="1:10" x14ac:dyDescent="0.4">
      <c r="A73" s="166">
        <f t="shared" si="1"/>
        <v>68</v>
      </c>
      <c r="B73" s="39" t="str">
        <f>VLOOKUP(C73,'Project Status'!C:K,8,FALSE)</f>
        <v>Deferred / On Hold</v>
      </c>
      <c r="C73" s="72">
        <v>21072</v>
      </c>
      <c r="D73" s="73" t="str">
        <f>VLOOKUP(C73,'Project Status'!C:G,5,FALSE)</f>
        <v>Arts &amp; Science</v>
      </c>
      <c r="E73" s="39" t="str">
        <f>VLOOKUP(C73,'Project Status'!C:I,7,FALSE)</f>
        <v>Calhoun Hall - MEP Feasibility Study</v>
      </c>
      <c r="F73" s="291">
        <f>IF(B73="Complete",SUM(G73:J73),VLOOKUP(C73,'Project Status'!C:M,11,FALSE))</f>
        <v>10000</v>
      </c>
      <c r="G73" s="292">
        <f>VLOOKUP(C73,'Project Status'!C:S,17,FALSE)</f>
        <v>0</v>
      </c>
      <c r="H73" s="293">
        <f>VLOOKUP(C73,'Project Status'!C:T,18,FALSE)</f>
        <v>0</v>
      </c>
      <c r="I73" s="294">
        <f>VLOOKUP(C73,'Project Status'!C:U,19,FALSE)</f>
        <v>0</v>
      </c>
      <c r="J73" s="295">
        <f>VLOOKUP(C73,'Project Status'!C:X,20,FALSE)</f>
        <v>0</v>
      </c>
    </row>
    <row r="74" spans="1:10" x14ac:dyDescent="0.4">
      <c r="A74" s="166">
        <f t="shared" si="1"/>
        <v>69</v>
      </c>
      <c r="B74" s="39" t="str">
        <f>VLOOKUP(C74,'Project Status'!C:K,8,FALSE)</f>
        <v>Deferred / On Hold</v>
      </c>
      <c r="C74" s="72">
        <v>21073</v>
      </c>
      <c r="D74" s="73" t="str">
        <f>VLOOKUP(C74,'Project Status'!C:G,5,FALSE)</f>
        <v>Arts &amp; Science</v>
      </c>
      <c r="E74" s="39" t="str">
        <f>VLOOKUP(C74,'Project Status'!C:I,7,FALSE)</f>
        <v>Furman Hall - MEP Feasibility Study</v>
      </c>
      <c r="F74" s="291">
        <f>IF(B74="Complete",SUM(G74:J74),VLOOKUP(C74,'Project Status'!C:M,11,FALSE))</f>
        <v>10000</v>
      </c>
      <c r="G74" s="292">
        <f>VLOOKUP(C74,'Project Status'!C:S,17,FALSE)</f>
        <v>0</v>
      </c>
      <c r="H74" s="293">
        <f>VLOOKUP(C74,'Project Status'!C:T,18,FALSE)</f>
        <v>0</v>
      </c>
      <c r="I74" s="294">
        <f>VLOOKUP(C74,'Project Status'!C:U,19,FALSE)</f>
        <v>0</v>
      </c>
      <c r="J74" s="295">
        <f>VLOOKUP(C74,'Project Status'!C:X,20,FALSE)</f>
        <v>0</v>
      </c>
    </row>
    <row r="75" spans="1:10" x14ac:dyDescent="0.4">
      <c r="A75" s="166">
        <f t="shared" si="1"/>
        <v>70</v>
      </c>
      <c r="B75" s="39" t="str">
        <f>VLOOKUP(C75,'Project Status'!C:K,8,FALSE)</f>
        <v>Deferred / On Hold</v>
      </c>
      <c r="C75" s="72">
        <v>21074</v>
      </c>
      <c r="D75" s="73" t="str">
        <f>VLOOKUP(C75,'Project Status'!C:G,5,FALSE)</f>
        <v>Law</v>
      </c>
      <c r="E75" s="39" t="str">
        <f>VLOOKUP(C75,'Project Status'!C:I,7,FALSE)</f>
        <v>Law School - MEP Feasibility Study</v>
      </c>
      <c r="F75" s="291">
        <f>IF(B75="Complete",SUM(G75:J75),VLOOKUP(C75,'Project Status'!C:M,11,FALSE))</f>
        <v>10000</v>
      </c>
      <c r="G75" s="292">
        <f>VLOOKUP(C75,'Project Status'!C:S,17,FALSE)</f>
        <v>0</v>
      </c>
      <c r="H75" s="293">
        <f>VLOOKUP(C75,'Project Status'!C:T,18,FALSE)</f>
        <v>0</v>
      </c>
      <c r="I75" s="294">
        <f>VLOOKUP(C75,'Project Status'!C:U,19,FALSE)</f>
        <v>0</v>
      </c>
      <c r="J75" s="295">
        <f>VLOOKUP(C75,'Project Status'!C:X,20,FALSE)</f>
        <v>0</v>
      </c>
    </row>
    <row r="76" spans="1:10" x14ac:dyDescent="0.4">
      <c r="A76" s="166">
        <f t="shared" si="1"/>
        <v>71</v>
      </c>
      <c r="B76" s="39" t="str">
        <f>VLOOKUP(C76,'Project Status'!C:K,8,FALSE)</f>
        <v>Active</v>
      </c>
      <c r="C76" s="72">
        <v>21094</v>
      </c>
      <c r="D76" s="73" t="str">
        <f>VLOOKUP(C76,'Project Status'!C:G,5,FALSE)</f>
        <v>Law</v>
      </c>
      <c r="E76" s="39" t="str">
        <f>VLOOKUP(C76,'Project Status'!C:I,7,FALSE)</f>
        <v>Godchaux Hall - Replace Fire Pump</v>
      </c>
      <c r="F76" s="291">
        <f>IF(B76="Complete",SUM(G76:J76),VLOOKUP(C76,'Project Status'!C:M,11,FALSE))</f>
        <v>87500</v>
      </c>
      <c r="G76" s="292">
        <f>VLOOKUP(C76,'Project Status'!C:S,17,FALSE)</f>
        <v>0</v>
      </c>
      <c r="H76" s="293">
        <f>VLOOKUP(C76,'Project Status'!C:T,18,FALSE)</f>
        <v>0</v>
      </c>
      <c r="I76" s="294">
        <f>VLOOKUP(C76,'Project Status'!C:U,19,FALSE)</f>
        <v>87500</v>
      </c>
      <c r="J76" s="295">
        <f>VLOOKUP(C76,'Project Status'!C:X,20,FALSE)</f>
        <v>0</v>
      </c>
    </row>
    <row r="77" spans="1:10" x14ac:dyDescent="0.4">
      <c r="A77" s="166">
        <f t="shared" si="1"/>
        <v>72</v>
      </c>
      <c r="B77" s="39" t="str">
        <f>VLOOKUP(C77,'Project Status'!C:K,8,FALSE)</f>
        <v>Complete</v>
      </c>
      <c r="C77" s="72">
        <v>21108</v>
      </c>
      <c r="D77" s="73" t="str">
        <f>VLOOKUP(C77,'Project Status'!C:G,5,FALSE)</f>
        <v>School of Nursing</v>
      </c>
      <c r="E77" s="39" t="str">
        <f>VLOOKUP(C77,'Project Status'!C:I,7,FALSE)</f>
        <v>1025 16th Avenue - Electrical and HVAC Study</v>
      </c>
      <c r="F77" s="291">
        <f>IF(B77="Complete",SUM(G77:J77),VLOOKUP(C77,'Project Status'!C:M,11,FALSE))</f>
        <v>5000</v>
      </c>
      <c r="G77" s="292">
        <f>VLOOKUP(C77,'Project Status'!C:S,17,FALSE)</f>
        <v>0</v>
      </c>
      <c r="H77" s="293">
        <f>VLOOKUP(C77,'Project Status'!C:T,18,FALSE)</f>
        <v>0</v>
      </c>
      <c r="I77" s="294">
        <f>VLOOKUP(C77,'Project Status'!C:U,19,FALSE)</f>
        <v>5000</v>
      </c>
      <c r="J77" s="295">
        <f>VLOOKUP(C77,'Project Status'!C:X,20,FALSE)</f>
        <v>0</v>
      </c>
    </row>
    <row r="78" spans="1:10" x14ac:dyDescent="0.4">
      <c r="A78" s="166">
        <f t="shared" si="1"/>
        <v>73</v>
      </c>
      <c r="B78" s="39" t="str">
        <f>VLOOKUP(C78,'Project Status'!C:K,8,FALSE)</f>
        <v>Active</v>
      </c>
      <c r="C78" s="72">
        <v>21113</v>
      </c>
      <c r="D78" s="73" t="str">
        <f>VLOOKUP(C78,'Project Status'!C:G,5,FALSE)</f>
        <v>Engineering</v>
      </c>
      <c r="E78" s="39" t="str">
        <f>VLOOKUP(C78,'Project Status'!C:I,7,FALSE)</f>
        <v>MRBIII - Lecture Hall V1220 Lighting Upgrade</v>
      </c>
      <c r="F78" s="291">
        <f>IF(B78="Complete",SUM(G78:J78),VLOOKUP(C78,'Project Status'!C:M,11,FALSE))</f>
        <v>85000</v>
      </c>
      <c r="G78" s="292">
        <f>VLOOKUP(C78,'Project Status'!C:S,17,FALSE)</f>
        <v>0</v>
      </c>
      <c r="H78" s="293">
        <f>VLOOKUP(C78,'Project Status'!C:T,18,FALSE)</f>
        <v>0</v>
      </c>
      <c r="I78" s="294">
        <f>VLOOKUP(C78,'Project Status'!C:U,19,FALSE)</f>
        <v>82125</v>
      </c>
      <c r="J78" s="295">
        <f>VLOOKUP(C78,'Project Status'!C:X,20,FALSE)</f>
        <v>0</v>
      </c>
    </row>
    <row r="79" spans="1:10" x14ac:dyDescent="0.4">
      <c r="A79" s="166">
        <f t="shared" si="1"/>
        <v>74</v>
      </c>
      <c r="B79" s="39" t="str">
        <f>VLOOKUP(C79,'Project Status'!C:K,8,FALSE)</f>
        <v>Active</v>
      </c>
      <c r="C79" s="72">
        <v>21114</v>
      </c>
      <c r="D79" s="73" t="str">
        <f>VLOOKUP(C79,'Project Status'!C:G,5,FALSE)</f>
        <v>School of Medicine</v>
      </c>
      <c r="E79" s="39" t="str">
        <f>VLOOKUP(C79,'Project Status'!C:I,7,FALSE)</f>
        <v>MRBIII - Chemical Discharge Tank Replacement</v>
      </c>
      <c r="F79" s="291">
        <f>IF(B79="Complete",SUM(G79:J79),VLOOKUP(C79,'Project Status'!C:M,11,FALSE))</f>
        <v>70000</v>
      </c>
      <c r="G79" s="292">
        <f>VLOOKUP(C79,'Project Status'!C:S,17,FALSE)</f>
        <v>0</v>
      </c>
      <c r="H79" s="293">
        <f>VLOOKUP(C79,'Project Status'!C:T,18,FALSE)</f>
        <v>0</v>
      </c>
      <c r="I79" s="294">
        <f>VLOOKUP(C79,'Project Status'!C:U,19,FALSE)</f>
        <v>68452</v>
      </c>
      <c r="J79" s="295">
        <f>VLOOKUP(C79,'Project Status'!C:X,20,FALSE)</f>
        <v>0</v>
      </c>
    </row>
    <row r="80" spans="1:10" x14ac:dyDescent="0.4">
      <c r="A80" s="166">
        <f t="shared" si="1"/>
        <v>75</v>
      </c>
      <c r="B80" s="39" t="str">
        <f>VLOOKUP(C80,'Project Status'!C:K,8,FALSE)</f>
        <v>Active</v>
      </c>
      <c r="C80" s="72">
        <v>21127</v>
      </c>
      <c r="D80" s="73" t="str">
        <f>VLOOKUP(C80,'Project Status'!C:G,5,FALSE)</f>
        <v>School of Medicine</v>
      </c>
      <c r="E80" s="39" t="str">
        <f>VLOOKUP(C80,'Project Status'!C:I,7,FALSE)</f>
        <v>MRBIII - Cooling Tower Overhaul</v>
      </c>
      <c r="F80" s="291">
        <f>IF(B80="Complete",SUM(G80:J80),VLOOKUP(C80,'Project Status'!C:M,11,FALSE))</f>
        <v>450000</v>
      </c>
      <c r="G80" s="292">
        <f>VLOOKUP(C80,'Project Status'!C:S,17,FALSE)</f>
        <v>0</v>
      </c>
      <c r="H80" s="293">
        <f>VLOOKUP(C80,'Project Status'!C:T,18,FALSE)</f>
        <v>0</v>
      </c>
      <c r="I80" s="294">
        <f>VLOOKUP(C80,'Project Status'!C:U,19,FALSE)</f>
        <v>0</v>
      </c>
      <c r="J80" s="295">
        <f>VLOOKUP(C80,'Project Status'!C:X,20,FALSE)</f>
        <v>449020</v>
      </c>
    </row>
    <row r="81" spans="1:12" x14ac:dyDescent="0.4">
      <c r="A81" s="166">
        <f t="shared" ref="A81:A92" si="2">A80+1</f>
        <v>76</v>
      </c>
      <c r="B81" s="39" t="str">
        <f>VLOOKUP(C81,'Project Status'!C:K,8,FALSE)</f>
        <v>Active</v>
      </c>
      <c r="C81" s="72">
        <v>21155</v>
      </c>
      <c r="D81" s="73" t="str">
        <f>VLOOKUP(C81,'Project Status'!C:G,5,FALSE)</f>
        <v>Arts &amp; Science</v>
      </c>
      <c r="E81" s="39" t="str">
        <f>VLOOKUP(C81,'Project Status'!C:I,7,FALSE)</f>
        <v>SC2 Restroom Upgrades</v>
      </c>
      <c r="F81" s="291">
        <f>IF(B81="Complete",SUM(G81:J81),VLOOKUP(C81,'Project Status'!C:M,11,FALSE))</f>
        <v>750000</v>
      </c>
      <c r="G81" s="292">
        <f>VLOOKUP(C81,'Project Status'!C:S,17,FALSE)</f>
        <v>0</v>
      </c>
      <c r="H81" s="293">
        <f>VLOOKUP(C81,'Project Status'!C:T,18,FALSE)</f>
        <v>0</v>
      </c>
      <c r="I81" s="294">
        <f>VLOOKUP(C81,'Project Status'!C:U,19,FALSE)</f>
        <v>0</v>
      </c>
      <c r="J81" s="295">
        <f>VLOOKUP(C81,'Project Status'!C:X,20,FALSE)</f>
        <v>0</v>
      </c>
    </row>
    <row r="82" spans="1:12" x14ac:dyDescent="0.4">
      <c r="A82" s="166">
        <f t="shared" si="2"/>
        <v>77</v>
      </c>
      <c r="B82" s="39" t="str">
        <f>VLOOKUP(C82,'Project Status'!C:K,8,FALSE)</f>
        <v>Active</v>
      </c>
      <c r="C82" s="72">
        <v>21156</v>
      </c>
      <c r="D82" s="73" t="str">
        <f>VLOOKUP(C82,'Project Status'!C:G,5,FALSE)</f>
        <v>Engineering</v>
      </c>
      <c r="E82" s="39" t="str">
        <f>VLOOKUP(C82,'Project Status'!C:I,7,FALSE)</f>
        <v>Olin Hall 2nd Floor Chiller</v>
      </c>
      <c r="F82" s="291">
        <f>IF(B82="Complete",SUM(G82:J82),VLOOKUP(C82,'Project Status'!C:M,11,FALSE))</f>
        <v>500000</v>
      </c>
      <c r="G82" s="292">
        <f>VLOOKUP(C82,'Project Status'!C:S,17,FALSE)</f>
        <v>0</v>
      </c>
      <c r="H82" s="293">
        <f>VLOOKUP(C82,'Project Status'!C:T,18,FALSE)</f>
        <v>0</v>
      </c>
      <c r="I82" s="294">
        <f>VLOOKUP(C82,'Project Status'!C:U,19,FALSE)</f>
        <v>0</v>
      </c>
      <c r="J82" s="295">
        <f>VLOOKUP(C82,'Project Status'!C:X,20,FALSE)</f>
        <v>386000</v>
      </c>
    </row>
    <row r="83" spans="1:12" x14ac:dyDescent="0.4">
      <c r="A83" s="166">
        <f t="shared" si="2"/>
        <v>78</v>
      </c>
      <c r="B83" s="39" t="str">
        <f>VLOOKUP(C83,'Project Status'!C:K,8,FALSE)</f>
        <v>Active</v>
      </c>
      <c r="C83" s="72">
        <v>21157</v>
      </c>
      <c r="D83" s="73" t="str">
        <f>VLOOKUP(C83,'Project Status'!C:G,5,FALSE)</f>
        <v>Arts &amp; Science</v>
      </c>
      <c r="E83" s="39" t="str">
        <f>VLOOKUP(C83,'Project Status'!C:I,7,FALSE)</f>
        <v>Cohen Memorial - Water Intrusion Repair</v>
      </c>
      <c r="F83" s="291">
        <f>IF(B83="Complete",SUM(G83:J83),VLOOKUP(C83,'Project Status'!C:M,11,FALSE))</f>
        <v>250000</v>
      </c>
      <c r="G83" s="292">
        <f>VLOOKUP(C83,'Project Status'!C:S,17,FALSE)</f>
        <v>0</v>
      </c>
      <c r="H83" s="293">
        <f>VLOOKUP(C83,'Project Status'!C:T,18,FALSE)</f>
        <v>0</v>
      </c>
      <c r="I83" s="294">
        <f>VLOOKUP(C83,'Project Status'!C:U,19,FALSE)</f>
        <v>0</v>
      </c>
      <c r="J83" s="295">
        <f>VLOOKUP(C83,'Project Status'!C:X,20,FALSE)</f>
        <v>0</v>
      </c>
    </row>
    <row r="84" spans="1:12" x14ac:dyDescent="0.4">
      <c r="A84" s="166">
        <f t="shared" si="2"/>
        <v>79</v>
      </c>
      <c r="B84" s="39" t="str">
        <f>VLOOKUP(C84,'Project Status'!C:K,8,FALSE)</f>
        <v>Active</v>
      </c>
      <c r="C84" s="72">
        <v>21165</v>
      </c>
      <c r="D84" s="73" t="str">
        <f>VLOOKUP(C84,'Project Status'!C:G,5,FALSE)</f>
        <v>Peabody</v>
      </c>
      <c r="E84" s="39" t="str">
        <f>VLOOKUP(C84,'Project Status'!C:I,7,FALSE)</f>
        <v>Wyatt Center Rotunda Repairs</v>
      </c>
      <c r="F84" s="291">
        <f>IF(B84="Complete",SUM(G84:J84),VLOOKUP(C84,'Project Status'!C:M,11,FALSE))</f>
        <v>0</v>
      </c>
      <c r="G84" s="292">
        <f>VLOOKUP(C84,'Project Status'!C:S,17,FALSE)</f>
        <v>0</v>
      </c>
      <c r="H84" s="293">
        <f>VLOOKUP(C84,'Project Status'!C:T,18,FALSE)</f>
        <v>0</v>
      </c>
      <c r="I84" s="294">
        <f>VLOOKUP(C84,'Project Status'!C:U,19,FALSE)</f>
        <v>0</v>
      </c>
      <c r="J84" s="295">
        <f>VLOOKUP(C84,'Project Status'!C:X,20,FALSE)</f>
        <v>0</v>
      </c>
    </row>
    <row r="85" spans="1:12" x14ac:dyDescent="0.4">
      <c r="A85" s="166">
        <f t="shared" si="2"/>
        <v>80</v>
      </c>
      <c r="B85" s="39" t="str">
        <f>VLOOKUP(C85,'Project Status'!C:K,8,FALSE)</f>
        <v>Active</v>
      </c>
      <c r="C85" s="72">
        <v>21173</v>
      </c>
      <c r="D85" s="73" t="str">
        <f>VLOOKUP(C85,'Project Status'!C:G,5,FALSE)</f>
        <v>College of Connected Computing</v>
      </c>
      <c r="E85" s="39" t="str">
        <f>VLOOKUP(C85,'Project Status'!C:I,7,FALSE)</f>
        <v>17th &amp; Horton Elevators Modernization</v>
      </c>
      <c r="F85" s="291">
        <f>IF(B85="Complete",SUM(G85:J85),VLOOKUP(C85,'Project Status'!C:M,11,FALSE))</f>
        <v>575000</v>
      </c>
      <c r="G85" s="292">
        <f>VLOOKUP(C85,'Project Status'!C:S,17,FALSE)</f>
        <v>0</v>
      </c>
      <c r="H85" s="293">
        <f>VLOOKUP(C85,'Project Status'!C:T,18,FALSE)</f>
        <v>0</v>
      </c>
      <c r="I85" s="294">
        <f>VLOOKUP(C85,'Project Status'!C:U,19,FALSE)</f>
        <v>0</v>
      </c>
      <c r="J85" s="295">
        <f>VLOOKUP(C85,'Project Status'!C:X,20,FALSE)</f>
        <v>25550</v>
      </c>
    </row>
    <row r="86" spans="1:12" x14ac:dyDescent="0.4">
      <c r="A86" s="166">
        <f t="shared" si="2"/>
        <v>81</v>
      </c>
      <c r="B86" s="39" t="str">
        <f>VLOOKUP(C86,'Project Status'!C:K,8,FALSE)</f>
        <v>Active</v>
      </c>
      <c r="C86" s="72">
        <v>21174</v>
      </c>
      <c r="D86" s="73" t="str">
        <f>VLOOKUP(C86,'Project Status'!C:G,5,FALSE)</f>
        <v>Arts &amp; Science</v>
      </c>
      <c r="E86" s="39" t="str">
        <f>VLOOKUP(C86,'Project Status'!C:I,7,FALSE)</f>
        <v>Buttrick Hall - Restore / Replace Exterior Wood Doors and Closures</v>
      </c>
      <c r="F86" s="291">
        <f>IF(B86="Complete",SUM(G86:J86),VLOOKUP(C86,'Project Status'!C:M,11,FALSE))</f>
        <v>0</v>
      </c>
      <c r="G86" s="292">
        <f>VLOOKUP(C86,'Project Status'!C:S,17,FALSE)</f>
        <v>0</v>
      </c>
      <c r="H86" s="293">
        <f>VLOOKUP(C86,'Project Status'!C:T,18,FALSE)</f>
        <v>0</v>
      </c>
      <c r="I86" s="294">
        <f>VLOOKUP(C86,'Project Status'!C:U,19,FALSE)</f>
        <v>0</v>
      </c>
      <c r="J86" s="295">
        <f>VLOOKUP(C86,'Project Status'!C:X,20,FALSE)</f>
        <v>0</v>
      </c>
    </row>
    <row r="87" spans="1:12" x14ac:dyDescent="0.4">
      <c r="A87" s="166">
        <f t="shared" si="2"/>
        <v>82</v>
      </c>
      <c r="B87" s="39" t="str">
        <f>VLOOKUP(C87,'Project Status'!C:K,8,FALSE)</f>
        <v>Active</v>
      </c>
      <c r="C87" s="72">
        <v>21175</v>
      </c>
      <c r="D87" s="73" t="str">
        <f>VLOOKUP(C87,'Project Status'!C:G,5,FALSE)</f>
        <v>Arts &amp; Science</v>
      </c>
      <c r="E87" s="39" t="str">
        <f>VLOOKUP(C87,'Project Status'!C:I,7,FALSE)</f>
        <v>Law School Partial Roof Replacement</v>
      </c>
      <c r="F87" s="291">
        <f>IF(B87="Complete",SUM(G87:J87),VLOOKUP(C87,'Project Status'!C:M,11,FALSE))</f>
        <v>0</v>
      </c>
      <c r="G87" s="292">
        <f>VLOOKUP(C87,'Project Status'!C:S,17,FALSE)</f>
        <v>0</v>
      </c>
      <c r="H87" s="293">
        <f>VLOOKUP(C87,'Project Status'!C:T,18,FALSE)</f>
        <v>0</v>
      </c>
      <c r="I87" s="294">
        <f>VLOOKUP(C87,'Project Status'!C:U,19,FALSE)</f>
        <v>0</v>
      </c>
      <c r="J87" s="295">
        <f>VLOOKUP(C87,'Project Status'!C:X,20,FALSE)</f>
        <v>0</v>
      </c>
    </row>
    <row r="88" spans="1:12" x14ac:dyDescent="0.4">
      <c r="A88" s="166">
        <f t="shared" si="2"/>
        <v>83</v>
      </c>
      <c r="B88" s="39" t="str">
        <f>VLOOKUP(C88,'Project Status'!C:K,8,FALSE)</f>
        <v>Active</v>
      </c>
      <c r="C88" s="72">
        <v>21176</v>
      </c>
      <c r="D88" s="73" t="str">
        <f>VLOOKUP(C88,'Project Status'!C:G,5,FALSE)</f>
        <v>Law</v>
      </c>
      <c r="E88" s="39" t="str">
        <f>VLOOKUP(C88,'Project Status'!C:I,7,FALSE)</f>
        <v>Law School Walkway Replacement</v>
      </c>
      <c r="F88" s="291">
        <f>IF(B88="Complete",SUM(G88:J88),VLOOKUP(C88,'Project Status'!C:M,11,FALSE))</f>
        <v>160000</v>
      </c>
      <c r="G88" s="292">
        <f>VLOOKUP(C88,'Project Status'!C:S,17,FALSE)</f>
        <v>0</v>
      </c>
      <c r="H88" s="293">
        <f>VLOOKUP(C88,'Project Status'!C:T,18,FALSE)</f>
        <v>0</v>
      </c>
      <c r="I88" s="294">
        <f>VLOOKUP(C88,'Project Status'!C:U,19,FALSE)</f>
        <v>0</v>
      </c>
      <c r="J88" s="295">
        <f>VLOOKUP(C88,'Project Status'!C:X,20,FALSE)</f>
        <v>0</v>
      </c>
    </row>
    <row r="89" spans="1:12" x14ac:dyDescent="0.4">
      <c r="A89" s="166">
        <f t="shared" si="2"/>
        <v>84</v>
      </c>
      <c r="B89" s="39" t="str">
        <f>VLOOKUP(C89,'Project Status'!C:K,8,FALSE)</f>
        <v>Active</v>
      </c>
      <c r="C89" s="72">
        <v>21177</v>
      </c>
      <c r="D89" s="73" t="str">
        <f>VLOOKUP(C89,'Project Status'!C:G,5,FALSE)</f>
        <v>Arts &amp; Science</v>
      </c>
      <c r="E89" s="39" t="str">
        <f>VLOOKUP(C89,'Project Status'!C:I,7,FALSE)</f>
        <v>SC2 Molecular Biology HVAC Replacement</v>
      </c>
      <c r="F89" s="291">
        <f>IF(B89="Complete",SUM(G89:J89),VLOOKUP(C89,'Project Status'!C:M,11,FALSE))</f>
        <v>2215000</v>
      </c>
      <c r="G89" s="292">
        <f>VLOOKUP(C89,'Project Status'!C:S,17,FALSE)</f>
        <v>0</v>
      </c>
      <c r="H89" s="293">
        <f>VLOOKUP(C89,'Project Status'!C:T,18,FALSE)</f>
        <v>0</v>
      </c>
      <c r="I89" s="294">
        <f>VLOOKUP(C89,'Project Status'!C:U,19,FALSE)</f>
        <v>0</v>
      </c>
      <c r="J89" s="295">
        <f>VLOOKUP(C89,'Project Status'!C:X,20,FALSE)</f>
        <v>0</v>
      </c>
    </row>
    <row r="90" spans="1:12" x14ac:dyDescent="0.4">
      <c r="A90" s="166">
        <f t="shared" si="2"/>
        <v>85</v>
      </c>
      <c r="B90" s="39" t="str">
        <f>VLOOKUP(C90,'Project Status'!C:K,8,FALSE)</f>
        <v>Active</v>
      </c>
      <c r="C90" s="72">
        <v>21178</v>
      </c>
      <c r="D90" s="73" t="str">
        <f>VLOOKUP(C90,'Project Status'!C:G,5,FALSE)</f>
        <v>Law</v>
      </c>
      <c r="E90" s="39" t="str">
        <f>VLOOKUP(C90,'Project Status'!C:I,7,FALSE)</f>
        <v>Law School - Air Compressor Replacement #6</v>
      </c>
      <c r="F90" s="291">
        <f>IF(B90="Complete",SUM(G90:J90),VLOOKUP(C90,'Project Status'!C:M,11,FALSE))</f>
        <v>30000</v>
      </c>
      <c r="G90" s="292">
        <f>VLOOKUP(C90,'Project Status'!C:S,17,FALSE)</f>
        <v>0</v>
      </c>
      <c r="H90" s="293">
        <f>VLOOKUP(C90,'Project Status'!C:T,18,FALSE)</f>
        <v>0</v>
      </c>
      <c r="I90" s="294">
        <f>VLOOKUP(C90,'Project Status'!C:U,19,FALSE)</f>
        <v>0</v>
      </c>
      <c r="J90" s="295">
        <f>VLOOKUP(C90,'Project Status'!C:X,20,FALSE)</f>
        <v>75000</v>
      </c>
    </row>
    <row r="91" spans="1:12" x14ac:dyDescent="0.4">
      <c r="A91" s="166">
        <f t="shared" si="2"/>
        <v>86</v>
      </c>
      <c r="B91" s="39" t="str">
        <f>VLOOKUP(C91,'Project Status'!C:K,8,FALSE)</f>
        <v>Active</v>
      </c>
      <c r="C91" s="72">
        <v>21189</v>
      </c>
      <c r="D91" s="73" t="str">
        <f>VLOOKUP(C91,'Project Status'!C:G,5,FALSE)</f>
        <v>Blair</v>
      </c>
      <c r="E91" s="39" t="str">
        <f>VLOOKUP(C91,'Project Status'!C:I,7,FALSE)</f>
        <v>Blair School Legacy VAV Replacement and Duct Encapsulation</v>
      </c>
      <c r="F91" s="291">
        <f>IF(B91="Complete",SUM(G91:J91),VLOOKUP(C91,'Project Status'!C:M,11,FALSE))</f>
        <v>800000</v>
      </c>
      <c r="G91" s="292">
        <f>VLOOKUP(C91,'Project Status'!C:S,17,FALSE)</f>
        <v>0</v>
      </c>
      <c r="H91" s="293">
        <f>VLOOKUP(C91,'Project Status'!C:T,18,FALSE)</f>
        <v>0</v>
      </c>
      <c r="I91" s="294">
        <f>VLOOKUP(C91,'Project Status'!C:U,19,FALSE)</f>
        <v>0</v>
      </c>
      <c r="J91" s="295">
        <f>VLOOKUP(C91,'Project Status'!C:X,20,FALSE)</f>
        <v>0</v>
      </c>
    </row>
    <row r="92" spans="1:12" x14ac:dyDescent="0.4">
      <c r="A92" s="166">
        <f t="shared" si="2"/>
        <v>87</v>
      </c>
      <c r="B92" s="39" t="str">
        <f>VLOOKUP(C92,'Project Status'!C:K,8,FALSE)</f>
        <v>Active</v>
      </c>
      <c r="C92" s="72">
        <v>21198</v>
      </c>
      <c r="D92" s="73" t="str">
        <f>VLOOKUP(C92,'Project Status'!C:G,5,FALSE)</f>
        <v>Arts &amp; Science</v>
      </c>
      <c r="E92" s="39" t="str">
        <f>VLOOKUP(C92,'Project Status'!C:I,7,FALSE)</f>
        <v>SC7 - AHUs Replacement</v>
      </c>
      <c r="F92" s="291">
        <f>IF(B92="Complete",SUM(G92:J92),VLOOKUP(C92,'Project Status'!C:M,11,FALSE))</f>
        <v>1300000</v>
      </c>
      <c r="G92" s="292">
        <f>VLOOKUP(C92,'Project Status'!C:S,17,FALSE)</f>
        <v>0</v>
      </c>
      <c r="H92" s="293">
        <f>VLOOKUP(C92,'Project Status'!C:T,18,FALSE)</f>
        <v>0</v>
      </c>
      <c r="I92" s="294">
        <f>VLOOKUP(C92,'Project Status'!C:U,19,FALSE)</f>
        <v>0</v>
      </c>
      <c r="J92" s="295">
        <f>VLOOKUP(C92,'Project Status'!C:X,20,FALSE)</f>
        <v>0</v>
      </c>
    </row>
    <row r="93" spans="1:12" s="170" customFormat="1" x14ac:dyDescent="0.4">
      <c r="B93" s="39"/>
      <c r="F93" s="296">
        <f>SUM(F6:F92)</f>
        <v>52620082.140000001</v>
      </c>
      <c r="G93" s="297">
        <f t="shared" ref="G93:J93" si="3">SUM(G6:G92)</f>
        <v>8797286.2599999998</v>
      </c>
      <c r="H93" s="298">
        <f t="shared" si="3"/>
        <v>11427472.939999999</v>
      </c>
      <c r="I93" s="299">
        <f t="shared" si="3"/>
        <v>10171078.440000001</v>
      </c>
      <c r="J93" s="300">
        <f t="shared" si="3"/>
        <v>4096348.2199999997</v>
      </c>
      <c r="K93" s="39"/>
      <c r="L93" s="39"/>
    </row>
    <row r="94" spans="1:12" s="170" customFormat="1" x14ac:dyDescent="0.4">
      <c r="B94" s="39"/>
      <c r="F94" s="301"/>
      <c r="G94" s="301"/>
      <c r="H94" s="301"/>
      <c r="I94" s="301"/>
      <c r="J94" s="301"/>
    </row>
  </sheetData>
  <sortState xmlns:xlrd2="http://schemas.microsoft.com/office/spreadsheetml/2017/richdata2" ref="B6:G27">
    <sortCondition ref="B6:B27"/>
    <sortCondition ref="D6:D27"/>
  </sortState>
  <pageMargins left="0.7" right="0.7" top="0.75" bottom="0.75" header="0.3" footer="0.3"/>
  <pageSetup scale="70" fitToHeight="0" orientation="landscape"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022EE-F30F-4805-ABE6-0899D66A2DAE}">
  <sheetPr>
    <tabColor rgb="FFFF66CC"/>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5.3046875" style="39" bestFit="1" customWidth="1"/>
    <col min="3" max="3" width="10.69140625" style="39" bestFit="1" customWidth="1"/>
    <col min="4" max="4" width="39.3046875" style="39" bestFit="1" customWidth="1"/>
    <col min="5" max="5" width="36.69140625" style="39" bestFit="1" customWidth="1"/>
    <col min="6" max="6" width="17.3046875" style="39" bestFit="1" customWidth="1"/>
    <col min="7" max="7" width="12.15234375" style="39" bestFit="1" customWidth="1"/>
    <col min="8" max="8" width="16.53515625" style="39" bestFit="1" customWidth="1"/>
    <col min="9" max="9" width="12.8437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20701</v>
      </c>
      <c r="B4" s="46">
        <f>VLOOKUP(A4,'Project Status'!C:D,2,FALSE)</f>
        <v>4399</v>
      </c>
      <c r="C4" s="46" t="str">
        <f>VLOOKUP(A4,'Project Status'!C:E,3,FALSE)</f>
        <v>CP_400198</v>
      </c>
      <c r="D4" s="46" t="str">
        <f>VLOOKUP(A4,'Project Status'!C:F,4,FALSE)</f>
        <v>12000 - Arts and Science: Office of the Dean</v>
      </c>
      <c r="E4" s="46" t="str">
        <f>VLOOKUP(A4,'Project Status'!C:I,7,FALSE)</f>
        <v>SC-5 - Chemical Discharge Replacement</v>
      </c>
      <c r="F4" s="46" t="str">
        <f>VLOOKUP(A4,'Project Status'!C:K,9,FALSE)</f>
        <v>Finalized</v>
      </c>
      <c r="G4" s="46" t="str">
        <f>VLOOKUP(A4,'Project Status'!C:L,10,FALSE)</f>
        <v>Sean Rewers</v>
      </c>
      <c r="H4" s="47">
        <f>VLOOKUP(A4,'Project Status'!C:N,12,FALSE)</f>
        <v>499093</v>
      </c>
      <c r="I4" s="48">
        <f>VLOOKUP(A4,'Project Status'!C:Q,15,FALSE)</f>
        <v>447535.86</v>
      </c>
    </row>
    <row r="8" spans="1:11" x14ac:dyDescent="0.4">
      <c r="E8" s="52" t="s">
        <v>123</v>
      </c>
    </row>
    <row r="9" spans="1:11" x14ac:dyDescent="0.4">
      <c r="E9" s="53" t="s">
        <v>251</v>
      </c>
      <c r="F9" s="60" t="s">
        <v>138</v>
      </c>
      <c r="H9" s="62">
        <v>499093</v>
      </c>
    </row>
    <row r="10" spans="1:11" x14ac:dyDescent="0.4">
      <c r="E10" s="53" t="s">
        <v>668</v>
      </c>
      <c r="F10" s="39" t="s">
        <v>286</v>
      </c>
      <c r="H10" s="49">
        <v>-51557.14</v>
      </c>
    </row>
    <row r="18" spans="5:8" x14ac:dyDescent="0.4">
      <c r="E18" s="64" t="s">
        <v>250</v>
      </c>
      <c r="F18" s="65"/>
      <c r="G18" s="64"/>
      <c r="H18" s="66">
        <f>SUM(H9:H17)</f>
        <v>447535.86</v>
      </c>
    </row>
    <row r="20" spans="5:8" x14ac:dyDescent="0.4">
      <c r="E20" s="67" t="s">
        <v>135</v>
      </c>
      <c r="F20" s="67"/>
      <c r="G20" s="67"/>
      <c r="H20" s="68">
        <f>I4-H18</f>
        <v>0</v>
      </c>
    </row>
  </sheetData>
  <hyperlinks>
    <hyperlink ref="K1" location="'Project Status'!A1" display="'Project Status'!A1" xr:uid="{9E262A90-B31F-4C48-BD8B-B68FC8054AFA}"/>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4C735-E852-4C21-8C85-F2DAC3418676}">
  <sheetPr>
    <tabColor theme="1"/>
  </sheetPr>
  <dimension ref="A1:K20"/>
  <sheetViews>
    <sheetView zoomScale="90" zoomScaleNormal="90" workbookViewId="0">
      <selection activeCell="H20" sqref="H20"/>
    </sheetView>
  </sheetViews>
  <sheetFormatPr defaultColWidth="8.15234375" defaultRowHeight="14.6" x14ac:dyDescent="0.4"/>
  <cols>
    <col min="1" max="1" width="8.53515625" bestFit="1" customWidth="1"/>
    <col min="2" max="2" width="5.53515625" bestFit="1" customWidth="1"/>
    <col min="3" max="3" width="11" bestFit="1" customWidth="1"/>
    <col min="4" max="4" width="40.53515625" bestFit="1" customWidth="1"/>
    <col min="5" max="5" width="38.304687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20702</v>
      </c>
      <c r="B4" s="9">
        <f>VLOOKUP(A4,'Project Status'!C:D,2,FALSE)</f>
        <v>8432</v>
      </c>
      <c r="C4" s="9" t="str">
        <f>VLOOKUP(A4,'Project Status'!C:E,3,FALSE)</f>
        <v>CP_400165</v>
      </c>
      <c r="D4" s="9" t="str">
        <f>VLOOKUP(A4,'Project Status'!C:F,4,FALSE)</f>
        <v>21000 - Peabody College: Office of the Dean</v>
      </c>
      <c r="E4" s="9" t="str">
        <f>VLOOKUP(A4,'Project Status'!C:I,7,FALSE)</f>
        <v>Wyatt Center - Elevator #2 Modernization</v>
      </c>
      <c r="F4" s="9" t="str">
        <f>VLOOKUP(A4,'Project Status'!C:K,8,FALSE)</f>
        <v>Complete</v>
      </c>
      <c r="G4" s="9" t="str">
        <f>VLOOKUP(A4,'Project Status'!C:L,9,FALSE)</f>
        <v>Finalized</v>
      </c>
      <c r="H4" s="25">
        <f>VLOOKUP(A4,'Project Status'!C:N,11,FALSE)</f>
        <v>225791</v>
      </c>
      <c r="I4" s="35">
        <f>VLOOKUP(A4,'Project Status'!C:O,13,FALSE)</f>
        <v>209419</v>
      </c>
    </row>
    <row r="8" spans="1:11" x14ac:dyDescent="0.4">
      <c r="E8" s="19" t="s">
        <v>123</v>
      </c>
    </row>
    <row r="9" spans="1:11" x14ac:dyDescent="0.4">
      <c r="E9" s="11" t="s">
        <v>204</v>
      </c>
      <c r="F9" s="13" t="s">
        <v>138</v>
      </c>
      <c r="H9" s="20">
        <v>13550</v>
      </c>
    </row>
    <row r="10" spans="1:11" x14ac:dyDescent="0.4">
      <c r="E10" s="11" t="s">
        <v>219</v>
      </c>
      <c r="F10" t="s">
        <v>203</v>
      </c>
      <c r="H10" s="20">
        <v>225791</v>
      </c>
    </row>
    <row r="11" spans="1:11" x14ac:dyDescent="0.4">
      <c r="E11" s="11" t="s">
        <v>347</v>
      </c>
      <c r="F11" t="s">
        <v>357</v>
      </c>
      <c r="H11" s="20">
        <v>-29922</v>
      </c>
    </row>
    <row r="18" spans="5:8" x14ac:dyDescent="0.4">
      <c r="E18" s="28" t="s">
        <v>250</v>
      </c>
      <c r="F18" s="29"/>
      <c r="G18" s="28"/>
      <c r="H18" s="30">
        <f>SUM(H9:H17)</f>
        <v>209419</v>
      </c>
    </row>
    <row r="20" spans="5:8" x14ac:dyDescent="0.4">
      <c r="E20" s="31" t="s">
        <v>135</v>
      </c>
      <c r="F20" s="31"/>
      <c r="G20" s="31"/>
      <c r="H20" s="32">
        <f>I4-H18</f>
        <v>0</v>
      </c>
    </row>
  </sheetData>
  <hyperlinks>
    <hyperlink ref="K1" location="'Project Status'!A1" display="'Project Status'!A1" xr:uid="{2FC6B3AC-6ED8-47FB-9F2B-DB62EB3B1C7C}"/>
  </hyperlinks>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839D3-9962-49A5-8528-110A080E1E42}">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40.15234375" bestFit="1" customWidth="1"/>
    <col min="5" max="5" width="43.3046875" bestFit="1" customWidth="1"/>
    <col min="6" max="6" width="30.53515625" bestFit="1" customWidth="1"/>
    <col min="7" max="7" width="8.84375" bestFit="1" customWidth="1"/>
    <col min="8" max="8" width="16.53515625" bestFit="1" customWidth="1"/>
    <col min="9" max="9" width="13.304687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20718</v>
      </c>
      <c r="B4" s="9">
        <f>VLOOKUP(A4,'Project Status'!C:D,2,FALSE)</f>
        <v>8608</v>
      </c>
      <c r="C4" s="9" t="str">
        <f>VLOOKUP(A4,'Project Status'!C:E,3,FALSE)</f>
        <v>CP_400174</v>
      </c>
      <c r="D4" s="9" t="str">
        <f>VLOOKUP(A4,'Project Status'!C:F,4,FALSE)</f>
        <v>12000 - Arts and Science: Office of the Dean</v>
      </c>
      <c r="E4" s="9" t="str">
        <f>VLOOKUP(A4,'Project Status'!C:I,7,FALSE)</f>
        <v>Buttrick Hall - 3rd Floor Inequality Renovations</v>
      </c>
      <c r="F4" s="9" t="str">
        <f>VLOOKUP(A4,'Project Status'!C:K,8,FALSE)</f>
        <v>Complete</v>
      </c>
      <c r="G4" s="9" t="str">
        <f>VLOOKUP(A4,'Project Status'!C:L,9,FALSE)</f>
        <v>Finalized</v>
      </c>
      <c r="H4" s="25">
        <f>VLOOKUP(A4,'Project Status'!C:N,11,FALSE)</f>
        <v>715000</v>
      </c>
      <c r="I4" s="35">
        <f>VLOOKUP(A4,'Project Status'!C:O,13,FALSE)</f>
        <v>656784.6</v>
      </c>
    </row>
    <row r="8" spans="1:11" x14ac:dyDescent="0.4">
      <c r="E8" s="19" t="s">
        <v>123</v>
      </c>
    </row>
    <row r="9" spans="1:11" x14ac:dyDescent="0.4">
      <c r="E9" s="11" t="s">
        <v>261</v>
      </c>
      <c r="F9" s="13" t="s">
        <v>260</v>
      </c>
      <c r="H9" s="20">
        <v>96166</v>
      </c>
    </row>
    <row r="10" spans="1:11" x14ac:dyDescent="0.4">
      <c r="E10" s="11"/>
      <c r="F10" s="10" t="s">
        <v>263</v>
      </c>
      <c r="H10" s="20"/>
    </row>
    <row r="11" spans="1:11" x14ac:dyDescent="0.4">
      <c r="E11" s="12" t="s">
        <v>265</v>
      </c>
      <c r="H11" s="26">
        <f>715000-96166</f>
        <v>618834</v>
      </c>
    </row>
    <row r="13" spans="1:11" x14ac:dyDescent="0.4">
      <c r="H13" s="22">
        <f>SUM(H9:H11)</f>
        <v>715000</v>
      </c>
    </row>
    <row r="18" spans="5:8" x14ac:dyDescent="0.4">
      <c r="E18" s="28" t="s">
        <v>250</v>
      </c>
      <c r="F18" s="29"/>
      <c r="G18" s="28"/>
      <c r="H18" s="30">
        <f>H9</f>
        <v>96166</v>
      </c>
    </row>
    <row r="20" spans="5:8" x14ac:dyDescent="0.4">
      <c r="E20" s="31" t="s">
        <v>135</v>
      </c>
      <c r="F20" s="31"/>
      <c r="G20" s="31"/>
      <c r="H20" s="32">
        <f>H4-H13</f>
        <v>0</v>
      </c>
    </row>
  </sheetData>
  <hyperlinks>
    <hyperlink ref="K1" location="'Project Status'!A1" display="'Project Status'!A1" xr:uid="{541B30AA-96EE-402C-BCCD-62B014152731}"/>
  </hyperlinks>
  <pageMargins left="0.7" right="0.7" top="0.75" bottom="0.75" header="0.3" footer="0.3"/>
  <pageSetup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56BC0-638E-4F8A-ADCC-2DF5A65FA44D}">
  <sheetPr>
    <tabColor theme="4"/>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5.3046875" style="39" bestFit="1" customWidth="1"/>
    <col min="3" max="3" width="10.69140625" style="39" bestFit="1" customWidth="1"/>
    <col min="4" max="4" width="37.84375" style="39" bestFit="1" customWidth="1"/>
    <col min="5" max="5" width="53.69140625" style="39" bestFit="1" customWidth="1"/>
    <col min="6" max="6" width="12.15234375" style="39" bestFit="1" customWidth="1"/>
    <col min="7" max="7" width="13.69140625" style="39" bestFit="1" customWidth="1"/>
    <col min="8" max="8" width="16.53515625" style="39" bestFit="1" customWidth="1"/>
    <col min="9" max="9" width="14.6914062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20723</v>
      </c>
      <c r="B4" s="46">
        <f>VLOOKUP(A4,'Project Status'!C:D,2,FALSE)</f>
        <v>1628</v>
      </c>
      <c r="C4" s="46" t="str">
        <f>VLOOKUP(A4,'Project Status'!C:E,3,FALSE)</f>
        <v>CP_400187</v>
      </c>
      <c r="D4" s="46" t="str">
        <f>VLOOKUP(A4,'Project Status'!C:F,4,FALSE)</f>
        <v>18200 - Basic Sciences: Office of the Dean</v>
      </c>
      <c r="E4" s="46" t="str">
        <f>VLOOKUP(A4,'Project Status'!C:I,7,FALSE)</f>
        <v>MRB III - 9th Floor (with 4 ,5 &amp; 8) - Replace Controls (Phase 3)</v>
      </c>
      <c r="F4" s="46" t="str">
        <f>VLOOKUP(A4,'Project Status'!C:K,9,FALSE)</f>
        <v>Construction</v>
      </c>
      <c r="G4" s="46" t="str">
        <f>VLOOKUP(A4,'Project Status'!C:L,10,FALSE)</f>
        <v>Jay Surprenant</v>
      </c>
      <c r="H4" s="47">
        <f>VLOOKUP(A4,'Project Status'!C:N,12,FALSE)</f>
        <v>1700000</v>
      </c>
      <c r="I4" s="48">
        <f>VLOOKUP(A4,'Project Status'!C:Q,15,FALSE)</f>
        <v>1146822.02</v>
      </c>
    </row>
    <row r="8" spans="1:11" x14ac:dyDescent="0.4">
      <c r="E8" s="52" t="s">
        <v>123</v>
      </c>
    </row>
    <row r="9" spans="1:11" x14ac:dyDescent="0.4">
      <c r="E9" s="53" t="s">
        <v>235</v>
      </c>
      <c r="F9" s="60"/>
      <c r="H9" s="49">
        <v>24500</v>
      </c>
    </row>
    <row r="10" spans="1:11" x14ac:dyDescent="0.4">
      <c r="E10" s="53" t="s">
        <v>251</v>
      </c>
      <c r="H10" s="49">
        <v>136000</v>
      </c>
    </row>
    <row r="11" spans="1:11" x14ac:dyDescent="0.4">
      <c r="E11" s="53" t="s">
        <v>414</v>
      </c>
      <c r="H11" s="54">
        <f>1700000-H10-H9</f>
        <v>1539500</v>
      </c>
    </row>
    <row r="18" spans="5:8" x14ac:dyDescent="0.4">
      <c r="E18" s="64" t="s">
        <v>250</v>
      </c>
      <c r="F18" s="65"/>
      <c r="G18" s="64"/>
      <c r="H18" s="66">
        <f>SUM(H9:H17)</f>
        <v>1700000</v>
      </c>
    </row>
    <row r="20" spans="5:8" x14ac:dyDescent="0.4">
      <c r="E20" s="67" t="s">
        <v>135</v>
      </c>
      <c r="F20" s="67"/>
      <c r="G20" s="67"/>
      <c r="H20" s="68">
        <f>H4-H18</f>
        <v>0</v>
      </c>
    </row>
  </sheetData>
  <hyperlinks>
    <hyperlink ref="K1" location="'Project Status'!A1" display="'Project Status'!A1" xr:uid="{128B9945-69C0-4655-8F8F-40479B01E1EA}"/>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E4BCB-5185-4C39-8B51-1BC498DCD04B}">
  <sheetPr>
    <tabColor rgb="FFFF66CC"/>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5.3046875" style="39" bestFit="1" customWidth="1"/>
    <col min="3" max="3" width="10.69140625" style="39" bestFit="1" customWidth="1"/>
    <col min="4" max="4" width="28.3828125" style="39" bestFit="1" customWidth="1"/>
    <col min="5" max="5" width="36.69140625" style="39" bestFit="1" customWidth="1"/>
    <col min="6" max="6" width="17.3046875" style="39" bestFit="1" customWidth="1"/>
    <col min="7" max="7" width="10.3828125" style="39" bestFit="1" customWidth="1"/>
    <col min="8" max="8" width="16.53515625" style="39" bestFit="1" customWidth="1"/>
    <col min="9" max="9" width="15.5351562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20724</v>
      </c>
      <c r="B4" s="46">
        <f>VLOOKUP(A4,'Project Status'!C:D,2,FALSE)</f>
        <v>8557</v>
      </c>
      <c r="C4" s="46" t="str">
        <f>VLOOKUP(A4,'Project Status'!C:E,3,FALSE)</f>
        <v>CP_400178</v>
      </c>
      <c r="D4" s="46" t="str">
        <f>VLOOKUP(A4,'Project Status'!C:F,4,FALSE)</f>
        <v>13000 - Blair: Office of the Dean</v>
      </c>
      <c r="E4" s="46" t="str">
        <f>VLOOKUP(A4,'Project Status'!C:I,7,FALSE)</f>
        <v>Blair School of Music - Steam Line - FY 23</v>
      </c>
      <c r="F4" s="46" t="str">
        <f>VLOOKUP(A4,'Project Status'!C:K,9,FALSE)</f>
        <v>Financial Closeout</v>
      </c>
      <c r="G4" s="46" t="str">
        <f>VLOOKUP(A4,'Project Status'!C:L,10,FALSE)</f>
        <v>Hans Mooy</v>
      </c>
      <c r="H4" s="47">
        <f>VLOOKUP(A4,'Project Status'!C:N,12,FALSE)</f>
        <v>1987500</v>
      </c>
      <c r="I4" s="48">
        <f>VLOOKUP(A4,'Project Status'!C:Q,15,FALSE)</f>
        <v>1839258.28</v>
      </c>
    </row>
    <row r="8" spans="1:11" x14ac:dyDescent="0.4">
      <c r="E8" s="52" t="s">
        <v>123</v>
      </c>
    </row>
    <row r="9" spans="1:11" x14ac:dyDescent="0.4">
      <c r="E9" s="53" t="s">
        <v>225</v>
      </c>
      <c r="F9" s="39" t="s">
        <v>138</v>
      </c>
      <c r="H9" s="49">
        <v>23400</v>
      </c>
    </row>
    <row r="10" spans="1:11" x14ac:dyDescent="0.4">
      <c r="E10" s="53" t="s">
        <v>329</v>
      </c>
      <c r="F10" s="39" t="s">
        <v>203</v>
      </c>
      <c r="H10" s="49">
        <v>1964100</v>
      </c>
    </row>
    <row r="11" spans="1:11" x14ac:dyDescent="0.4">
      <c r="E11" s="53" t="s">
        <v>668</v>
      </c>
      <c r="F11" s="39" t="s">
        <v>286</v>
      </c>
      <c r="H11" s="49">
        <v>-148241.72</v>
      </c>
    </row>
    <row r="12" spans="1:11" x14ac:dyDescent="0.4">
      <c r="F12" s="56"/>
      <c r="G12" s="56"/>
      <c r="H12" s="69"/>
    </row>
    <row r="18" spans="5:8" x14ac:dyDescent="0.4">
      <c r="E18" s="64" t="s">
        <v>250</v>
      </c>
      <c r="F18" s="65"/>
      <c r="G18" s="64"/>
      <c r="H18" s="66">
        <f>SUM(H9:H17)</f>
        <v>1839258.28</v>
      </c>
    </row>
    <row r="20" spans="5:8" x14ac:dyDescent="0.4">
      <c r="E20" s="67" t="s">
        <v>135</v>
      </c>
      <c r="F20" s="67"/>
      <c r="G20" s="67"/>
      <c r="H20" s="68">
        <f>I4-H18</f>
        <v>0</v>
      </c>
    </row>
  </sheetData>
  <hyperlinks>
    <hyperlink ref="K1" location="'Project Status'!A1" display="'Project Status'!A1" xr:uid="{8E337751-EDF1-4608-B301-35648AFC4573}"/>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8D17C-4074-4FF4-8E38-15D4DF4E220C}">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6.69140625" bestFit="1" customWidth="1"/>
    <col min="4" max="4" width="30.69140625" bestFit="1" customWidth="1"/>
    <col min="5" max="5" width="36.53515625" bestFit="1" customWidth="1"/>
    <col min="6" max="6" width="17.53515625" bestFit="1" customWidth="1"/>
    <col min="7" max="7" width="11.3046875" bestFit="1" customWidth="1"/>
    <col min="8" max="8" width="16.53515625" bestFit="1" customWidth="1"/>
    <col min="9" max="9" width="13.3046875" bestFit="1" customWidth="1"/>
    <col min="11" max="11" width="16.6914062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20735</v>
      </c>
      <c r="B4" s="9">
        <f>VLOOKUP(A4,'Project Status'!C:D,2,FALSE)</f>
        <v>8226</v>
      </c>
      <c r="C4" s="9">
        <f>VLOOKUP(A4,'Project Status'!C:E,3,FALSE)</f>
        <v>0</v>
      </c>
      <c r="D4" s="9" t="str">
        <f>VLOOKUP(A4,'Project Status'!C:F,4,FALSE)</f>
        <v>20000 - Owen: Office of the Dean</v>
      </c>
      <c r="E4" s="9" t="str">
        <f>VLOOKUP(A4,'Project Status'!C:I,7,FALSE)</f>
        <v>Owen - Roof Replacement (Third Level)</v>
      </c>
      <c r="F4" s="9" t="str">
        <f>VLOOKUP(A4,'Project Status'!C:K,8,FALSE)</f>
        <v>Complete</v>
      </c>
      <c r="G4" s="9" t="str">
        <f>VLOOKUP(A4,'Project Status'!C:L,9,FALSE)</f>
        <v>Finalized</v>
      </c>
      <c r="H4" s="25">
        <f>VLOOKUP(A4,'Project Status'!C:N,11,FALSE)</f>
        <v>300000</v>
      </c>
      <c r="I4" s="35">
        <f>VLOOKUP(A4,'Project Status'!C:O,13,FALSE)</f>
        <v>276500</v>
      </c>
    </row>
    <row r="8" spans="1:11" x14ac:dyDescent="0.4">
      <c r="E8" s="19" t="s">
        <v>123</v>
      </c>
    </row>
    <row r="9" spans="1:11" x14ac:dyDescent="0.4">
      <c r="E9" s="11" t="s">
        <v>256</v>
      </c>
      <c r="F9" t="s">
        <v>138</v>
      </c>
      <c r="H9" s="20">
        <v>300000</v>
      </c>
    </row>
    <row r="10" spans="1:11" x14ac:dyDescent="0.4">
      <c r="E10" s="11" t="s">
        <v>383</v>
      </c>
      <c r="F10" t="s">
        <v>286</v>
      </c>
      <c r="H10" s="20">
        <v>-23500</v>
      </c>
    </row>
    <row r="12" spans="1:11" x14ac:dyDescent="0.4">
      <c r="F12" s="8"/>
      <c r="G12" s="8"/>
      <c r="H12" s="23"/>
    </row>
    <row r="18" spans="5:8" x14ac:dyDescent="0.4">
      <c r="E18" s="28" t="s">
        <v>250</v>
      </c>
      <c r="F18" s="29"/>
      <c r="G18" s="28"/>
      <c r="H18" s="30">
        <f>SUM(H9:H17)</f>
        <v>276500</v>
      </c>
    </row>
    <row r="20" spans="5:8" x14ac:dyDescent="0.4">
      <c r="E20" s="31" t="s">
        <v>135</v>
      </c>
      <c r="F20" s="31"/>
      <c r="G20" s="31"/>
      <c r="H20" s="32">
        <f>I4-H18</f>
        <v>0</v>
      </c>
    </row>
  </sheetData>
  <hyperlinks>
    <hyperlink ref="K1" location="'Project Status'!A1" display="'Project Status'!A1" xr:uid="{A4399369-1559-421B-AF40-A08546DD82BC}"/>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1BC99-153A-439B-9AB0-E71952119B85}">
  <sheetPr>
    <tabColor rgb="FFFFFF93"/>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5.3046875" style="39" bestFit="1" customWidth="1"/>
    <col min="3" max="3" width="10.69140625" style="39" bestFit="1" customWidth="1"/>
    <col min="4" max="4" width="39.3046875" style="39" bestFit="1" customWidth="1"/>
    <col min="5" max="5" width="36.15234375" style="39" bestFit="1" customWidth="1"/>
    <col min="6" max="6" width="31.3046875" style="39" bestFit="1" customWidth="1"/>
    <col min="7" max="7" width="13.69140625" style="39" bestFit="1" customWidth="1"/>
    <col min="8" max="8" width="16.53515625" style="39" customWidth="1"/>
    <col min="9" max="9" width="12.8437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20767</v>
      </c>
      <c r="B4" s="46">
        <f>VLOOKUP(A4,'Project Status'!C:D,2,FALSE)</f>
        <v>8673</v>
      </c>
      <c r="C4" s="46" t="str">
        <f>VLOOKUP(A4,'Project Status'!C:E,3,FALSE)</f>
        <v>CP_400242</v>
      </c>
      <c r="D4" s="46" t="str">
        <f>VLOOKUP(A4,'Project Status'!C:F,4,FALSE)</f>
        <v>21000 - Peabody College: Office of the Dean</v>
      </c>
      <c r="E4" s="46" t="str">
        <f>VLOOKUP(A4,'Project Status'!C:I,7,FALSE)</f>
        <v>Six Magnolia Circle - Foundation Repairs</v>
      </c>
      <c r="F4" s="46" t="str">
        <f>VLOOKUP(A4,'Project Status'!C:K,9,FALSE)</f>
        <v>Warranty or Construction Closeout</v>
      </c>
      <c r="G4" s="46" t="str">
        <f>VLOOKUP(A4,'Project Status'!C:L,10,FALSE)</f>
        <v>Jay Surprenant</v>
      </c>
      <c r="H4" s="47">
        <f>VLOOKUP(A4,'Project Status'!C:N,12,FALSE)</f>
        <v>148299</v>
      </c>
      <c r="I4" s="48">
        <f>VLOOKUP(A4,'Project Status'!C:Q,15,FALSE)</f>
        <v>125699</v>
      </c>
    </row>
    <row r="8" spans="1:11" x14ac:dyDescent="0.4">
      <c r="E8" s="52" t="s">
        <v>123</v>
      </c>
    </row>
    <row r="9" spans="1:11" x14ac:dyDescent="0.4">
      <c r="E9" s="53" t="s">
        <v>362</v>
      </c>
      <c r="F9" s="39" t="s">
        <v>138</v>
      </c>
      <c r="H9" s="49">
        <v>148299</v>
      </c>
    </row>
    <row r="10" spans="1:11" x14ac:dyDescent="0.4">
      <c r="E10" s="53"/>
    </row>
    <row r="12" spans="1:11" x14ac:dyDescent="0.4">
      <c r="F12" s="56"/>
      <c r="G12" s="56"/>
      <c r="H12" s="69"/>
    </row>
    <row r="18" spans="5:8" x14ac:dyDescent="0.4">
      <c r="E18" s="64" t="s">
        <v>250</v>
      </c>
      <c r="F18" s="65"/>
      <c r="G18" s="64"/>
      <c r="H18" s="66">
        <f>SUM(H9:H17)</f>
        <v>148299</v>
      </c>
    </row>
    <row r="20" spans="5:8" x14ac:dyDescent="0.4">
      <c r="E20" s="67" t="s">
        <v>135</v>
      </c>
      <c r="F20" s="67"/>
      <c r="G20" s="67"/>
      <c r="H20" s="68">
        <f>H4-H18</f>
        <v>0</v>
      </c>
    </row>
  </sheetData>
  <hyperlinks>
    <hyperlink ref="K1" location="'Project Status'!A1" display="'Project Status'!A1" xr:uid="{61EF1237-7E63-4593-B10E-BA676987A306}"/>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1AF16-AAC1-4BC8-A3CB-44690025FB6D}">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6.69140625" bestFit="1" customWidth="1"/>
    <col min="4" max="4" width="40.15234375" bestFit="1" customWidth="1"/>
    <col min="5" max="5" width="39.69140625" bestFit="1" customWidth="1"/>
    <col min="6" max="6" width="9" bestFit="1" customWidth="1"/>
    <col min="7" max="7" width="12.3046875" bestFit="1" customWidth="1"/>
    <col min="8" max="8" width="16.53515625" bestFit="1" customWidth="1"/>
    <col min="9" max="9" width="12.15234375" bestFit="1" customWidth="1"/>
    <col min="11" max="11" width="16.6914062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20771</v>
      </c>
      <c r="B4" s="9">
        <f>VLOOKUP(A4,'Project Status'!C:D,2,FALSE)</f>
        <v>8674</v>
      </c>
      <c r="C4" s="9">
        <f>VLOOKUP(A4,'Project Status'!C:E,3,FALSE)</f>
        <v>0</v>
      </c>
      <c r="D4" s="9" t="str">
        <f>VLOOKUP(A4,'Project Status'!C:F,4,FALSE)</f>
        <v>12000 - Arts and Science: Office of the Dean</v>
      </c>
      <c r="E4" s="9" t="str">
        <f>VLOOKUP(A4,'Project Status'!C:I,7,FALSE)</f>
        <v>SC4 - Interstitial Space HVAC Modifications</v>
      </c>
      <c r="F4" s="9" t="str">
        <f>VLOOKUP(A4,'Project Status'!C:K,8,FALSE)</f>
        <v>Complete</v>
      </c>
      <c r="G4" s="9" t="str">
        <f>VLOOKUP(A4,'Project Status'!C:L,9,FALSE)</f>
        <v>Finalized</v>
      </c>
      <c r="H4" s="25">
        <f>VLOOKUP(A4,'Project Status'!C:N,11,FALSE)</f>
        <v>25000</v>
      </c>
      <c r="I4" s="35">
        <f>VLOOKUP(A4,'Project Status'!C:O,13,FALSE)</f>
        <v>17972</v>
      </c>
    </row>
    <row r="8" spans="1:11" x14ac:dyDescent="0.4">
      <c r="E8" s="19" t="s">
        <v>123</v>
      </c>
    </row>
    <row r="9" spans="1:11" x14ac:dyDescent="0.4">
      <c r="E9" s="11" t="s">
        <v>251</v>
      </c>
      <c r="F9" t="s">
        <v>138</v>
      </c>
      <c r="H9" s="20">
        <v>19297</v>
      </c>
    </row>
    <row r="10" spans="1:11" x14ac:dyDescent="0.4">
      <c r="E10" s="11" t="s">
        <v>256</v>
      </c>
      <c r="F10" t="s">
        <v>203</v>
      </c>
      <c r="H10" s="20">
        <v>5700</v>
      </c>
    </row>
    <row r="11" spans="1:11" x14ac:dyDescent="0.4">
      <c r="E11" s="11" t="s">
        <v>315</v>
      </c>
      <c r="F11" t="s">
        <v>286</v>
      </c>
      <c r="H11" s="20">
        <v>-7025</v>
      </c>
    </row>
    <row r="12" spans="1:11" x14ac:dyDescent="0.4">
      <c r="F12" s="8"/>
      <c r="G12" s="8"/>
      <c r="H12" s="23"/>
    </row>
    <row r="18" spans="5:8" x14ac:dyDescent="0.4">
      <c r="E18" s="28" t="s">
        <v>250</v>
      </c>
      <c r="F18" s="29"/>
      <c r="G18" s="28"/>
      <c r="H18" s="30">
        <f>SUM(H9:H17)</f>
        <v>17972</v>
      </c>
    </row>
    <row r="20" spans="5:8" x14ac:dyDescent="0.4">
      <c r="E20" s="31" t="s">
        <v>135</v>
      </c>
      <c r="F20" s="31"/>
      <c r="G20" s="31"/>
      <c r="H20" s="32">
        <f>I4-H18</f>
        <v>0</v>
      </c>
    </row>
  </sheetData>
  <hyperlinks>
    <hyperlink ref="K1" location="'Project Status'!A1" display="'Project Status'!A1" xr:uid="{FE9FE35D-5ADF-428F-9C73-430E553BB9E5}"/>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DE125-FA62-4913-9C5C-815B64E8874A}">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27.15234375" bestFit="1" customWidth="1"/>
    <col min="5" max="5" width="45.3046875" bestFit="1" customWidth="1"/>
    <col min="6" max="6" width="17.53515625" bestFit="1" customWidth="1"/>
    <col min="7" max="7" width="11.3046875" bestFit="1" customWidth="1"/>
    <col min="8" max="8" width="16.53515625" bestFit="1" customWidth="1"/>
    <col min="9" max="9" width="13.3046875" bestFit="1" customWidth="1"/>
    <col min="11" max="11" width="16.6914062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20792</v>
      </c>
      <c r="B4" s="9">
        <f>VLOOKUP(A4,'Project Status'!C:D,2,FALSE)</f>
        <v>1035</v>
      </c>
      <c r="C4" s="9" t="str">
        <f>VLOOKUP(A4,'Project Status'!C:E,3,FALSE)</f>
        <v>CP_400206</v>
      </c>
      <c r="D4" s="9" t="str">
        <f>VLOOKUP(A4,'Project Status'!C:F,4,FALSE)</f>
        <v>17100 - Law: Business Affairs</v>
      </c>
      <c r="E4" s="9" t="str">
        <f>VLOOKUP(A4,'Project Status'!C:I,7,FALSE)</f>
        <v>Law School - Sections 1, 2, &amp; 3  Roof Replacement</v>
      </c>
      <c r="F4" s="9" t="str">
        <f>VLOOKUP(A4,'Project Status'!C:K,8,FALSE)</f>
        <v>Complete</v>
      </c>
      <c r="G4" s="9" t="str">
        <f>VLOOKUP(A4,'Project Status'!C:L,9,FALSE)</f>
        <v>Finalized</v>
      </c>
      <c r="H4" s="25">
        <f>VLOOKUP(A4,'Project Status'!C:N,11,FALSE)</f>
        <v>400000</v>
      </c>
      <c r="I4" s="35">
        <f>VLOOKUP(A4,'Project Status'!C:O,13,FALSE)</f>
        <v>450775</v>
      </c>
    </row>
    <row r="8" spans="1:11" x14ac:dyDescent="0.4">
      <c r="E8" s="19" t="s">
        <v>123</v>
      </c>
    </row>
    <row r="9" spans="1:11" x14ac:dyDescent="0.4">
      <c r="E9" s="11" t="s">
        <v>285</v>
      </c>
      <c r="F9" t="s">
        <v>138</v>
      </c>
      <c r="H9" s="20">
        <v>483440</v>
      </c>
    </row>
    <row r="10" spans="1:11" x14ac:dyDescent="0.4">
      <c r="E10" s="11" t="s">
        <v>347</v>
      </c>
      <c r="F10" t="s">
        <v>357</v>
      </c>
      <c r="H10" s="20">
        <v>-32665</v>
      </c>
    </row>
    <row r="12" spans="1:11" x14ac:dyDescent="0.4">
      <c r="F12" s="8"/>
      <c r="G12" s="8"/>
      <c r="H12" s="23"/>
    </row>
    <row r="18" spans="5:8" x14ac:dyDescent="0.4">
      <c r="E18" s="28" t="s">
        <v>250</v>
      </c>
      <c r="F18" s="29"/>
      <c r="G18" s="28"/>
      <c r="H18" s="30">
        <f>SUM(H9:H17)</f>
        <v>450775</v>
      </c>
    </row>
    <row r="20" spans="5:8" x14ac:dyDescent="0.4">
      <c r="E20" s="31" t="s">
        <v>135</v>
      </c>
      <c r="F20" s="31"/>
      <c r="G20" s="31"/>
      <c r="H20" s="32">
        <f>I4-H18</f>
        <v>0</v>
      </c>
    </row>
  </sheetData>
  <hyperlinks>
    <hyperlink ref="K1" location="'Project Status'!A1" display="'Project Status'!A1" xr:uid="{8D4B950B-46B9-453E-93D9-3BBF9A5CCE1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68C3-B681-49F3-B9D8-CF1A6B9B6D52}">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3046875" bestFit="1" customWidth="1"/>
    <col min="3" max="3" width="6.69140625" bestFit="1" customWidth="1"/>
    <col min="4" max="4" width="40.15234375" bestFit="1" customWidth="1"/>
    <col min="5" max="5" width="36.3046875" bestFit="1" customWidth="1"/>
    <col min="6" max="6" width="7" bestFit="1" customWidth="1"/>
    <col min="7" max="7" width="12.3046875" bestFit="1" customWidth="1"/>
    <col min="8" max="8" width="16.53515625" bestFit="1" customWidth="1"/>
    <col min="9" max="9" width="12.15234375" bestFit="1" customWidth="1"/>
    <col min="11" max="11" width="16.6914062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20831</v>
      </c>
      <c r="B4" s="9">
        <f>VLOOKUP(A4,'Project Status'!C:D,2,FALSE)</f>
        <v>8230</v>
      </c>
      <c r="C4" s="9">
        <f>VLOOKUP(A4,'Project Status'!C:E,3,FALSE)</f>
        <v>0</v>
      </c>
      <c r="D4" s="9" t="str">
        <f>VLOOKUP(A4,'Project Status'!C:F,4,FALSE)</f>
        <v>12000 - Arts and Science: Office of the Dean</v>
      </c>
      <c r="E4" s="9" t="str">
        <f>VLOOKUP(A4,'Project Status'!C:I,7,FALSE)</f>
        <v>SC6 - HVAC Upgrades - Feasibility Study</v>
      </c>
      <c r="F4" s="9" t="str">
        <f>VLOOKUP(A4,'Project Status'!C:K,8,FALSE)</f>
        <v>Complete</v>
      </c>
      <c r="G4" s="9" t="str">
        <f>VLOOKUP(A4,'Project Status'!C:L,9,FALSE)</f>
        <v>Finalized</v>
      </c>
      <c r="H4" s="25">
        <f>VLOOKUP(A4,'Project Status'!C:N,11,FALSE)</f>
        <v>24000</v>
      </c>
      <c r="I4" s="35">
        <f>VLOOKUP(A4,'Project Status'!C:O,13,FALSE)</f>
        <v>24000</v>
      </c>
    </row>
    <row r="8" spans="1:11" x14ac:dyDescent="0.4">
      <c r="E8" s="19" t="s">
        <v>123</v>
      </c>
    </row>
    <row r="9" spans="1:11" x14ac:dyDescent="0.4">
      <c r="E9" s="11" t="s">
        <v>304</v>
      </c>
      <c r="F9" t="s">
        <v>138</v>
      </c>
      <c r="H9" s="20">
        <v>24000</v>
      </c>
    </row>
    <row r="10" spans="1:11" x14ac:dyDescent="0.4">
      <c r="E10" s="11"/>
      <c r="H10" s="20"/>
    </row>
    <row r="12" spans="1:11" x14ac:dyDescent="0.4">
      <c r="F12" s="8"/>
      <c r="G12" s="8"/>
      <c r="H12" s="23"/>
    </row>
    <row r="18" spans="5:8" x14ac:dyDescent="0.4">
      <c r="E18" s="28" t="s">
        <v>250</v>
      </c>
      <c r="F18" s="29"/>
      <c r="G18" s="28"/>
      <c r="H18" s="30">
        <f>SUM(H9:H17)</f>
        <v>24000</v>
      </c>
    </row>
    <row r="20" spans="5:8" x14ac:dyDescent="0.4">
      <c r="E20" s="31" t="s">
        <v>135</v>
      </c>
      <c r="F20" s="31"/>
      <c r="G20" s="31"/>
      <c r="H20" s="32">
        <f>H4-H18</f>
        <v>0</v>
      </c>
    </row>
  </sheetData>
  <hyperlinks>
    <hyperlink ref="K1" location="'Project Status'!A1" display="'Project Status'!A1" xr:uid="{E8A0A439-2AB4-4540-942F-1B3D83DD7EDD}"/>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F504F-7CD2-4C1C-A600-054965C2636B}">
  <sheetPr>
    <tabColor theme="5"/>
  </sheetPr>
  <dimension ref="A1:T29"/>
  <sheetViews>
    <sheetView topLeftCell="I1" zoomScaleNormal="100" workbookViewId="0">
      <selection activeCell="O23" sqref="O23"/>
    </sheetView>
  </sheetViews>
  <sheetFormatPr defaultColWidth="9.3046875" defaultRowHeight="14.6" x14ac:dyDescent="0.4"/>
  <cols>
    <col min="1" max="1" width="21.15234375" style="39" bestFit="1" customWidth="1"/>
    <col min="2" max="2" width="12" style="39" bestFit="1" customWidth="1"/>
    <col min="3" max="3" width="13.53515625" style="39" bestFit="1" customWidth="1"/>
    <col min="4" max="4" width="9.3046875" style="39"/>
    <col min="5" max="5" width="21.15234375" style="39" bestFit="1" customWidth="1"/>
    <col min="6" max="6" width="12" style="39" bestFit="1" customWidth="1"/>
    <col min="7" max="7" width="13.53515625" style="39" bestFit="1" customWidth="1"/>
    <col min="8" max="8" width="9.3046875" style="39"/>
    <col min="9" max="9" width="21.15234375" style="39" bestFit="1" customWidth="1"/>
    <col min="10" max="10" width="12" style="39" bestFit="1" customWidth="1"/>
    <col min="11" max="11" width="13.53515625" style="39" bestFit="1" customWidth="1"/>
    <col min="12" max="12" width="9.3046875" style="39"/>
    <col min="13" max="13" width="29.69140625" style="39" customWidth="1"/>
    <col min="14" max="14" width="12.53515625" style="39" customWidth="1"/>
    <col min="15" max="15" width="13.53515625" style="39" customWidth="1"/>
    <col min="16" max="16" width="8.84375" style="39" customWidth="1"/>
    <col min="17" max="17" width="29.69140625" style="39" customWidth="1"/>
    <col min="18" max="18" width="12.53515625" style="39" customWidth="1"/>
    <col min="19" max="19" width="13.53515625" style="39" customWidth="1"/>
    <col min="20" max="16384" width="9.3046875" style="39"/>
  </cols>
  <sheetData>
    <row r="1" spans="1:20" s="241" customFormat="1" x14ac:dyDescent="0.4">
      <c r="A1" s="56" t="s">
        <v>621</v>
      </c>
      <c r="E1" s="56" t="s">
        <v>622</v>
      </c>
      <c r="I1" s="56" t="s">
        <v>623</v>
      </c>
      <c r="M1" s="56" t="s">
        <v>624</v>
      </c>
      <c r="Q1" s="56" t="s">
        <v>625</v>
      </c>
    </row>
    <row r="2" spans="1:20" s="241" customFormat="1" x14ac:dyDescent="0.4">
      <c r="A2" s="170"/>
      <c r="B2" s="263"/>
      <c r="E2" s="170"/>
      <c r="F2" s="263"/>
      <c r="I2" s="170"/>
      <c r="J2" s="263"/>
      <c r="M2" s="170"/>
      <c r="N2" s="263"/>
      <c r="Q2" s="170"/>
      <c r="R2" s="263"/>
    </row>
    <row r="3" spans="1:20" ht="14.7" customHeight="1" x14ac:dyDescent="0.4">
      <c r="A3" s="241"/>
      <c r="C3" s="264">
        <v>3.41</v>
      </c>
      <c r="E3" s="241"/>
      <c r="G3" s="264">
        <v>3.97</v>
      </c>
      <c r="I3" s="241"/>
      <c r="K3" s="264">
        <v>4.54</v>
      </c>
      <c r="L3" s="265"/>
      <c r="M3" s="241"/>
      <c r="O3" s="264">
        <v>4.54</v>
      </c>
      <c r="Q3" s="241"/>
      <c r="S3" s="264">
        <f>O3</f>
        <v>4.54</v>
      </c>
    </row>
    <row r="4" spans="1:20" x14ac:dyDescent="0.4">
      <c r="A4" s="266" t="s">
        <v>86</v>
      </c>
      <c r="B4" s="267" t="s">
        <v>99</v>
      </c>
      <c r="C4" s="267" t="s">
        <v>88</v>
      </c>
      <c r="E4" s="266" t="s">
        <v>86</v>
      </c>
      <c r="F4" s="267" t="s">
        <v>99</v>
      </c>
      <c r="G4" s="267" t="s">
        <v>88</v>
      </c>
      <c r="I4" s="266" t="s">
        <v>86</v>
      </c>
      <c r="J4" s="267" t="s">
        <v>99</v>
      </c>
      <c r="K4" s="267" t="s">
        <v>88</v>
      </c>
      <c r="M4" s="266" t="s">
        <v>86</v>
      </c>
      <c r="N4" s="267" t="s">
        <v>99</v>
      </c>
      <c r="O4" s="267" t="s">
        <v>88</v>
      </c>
      <c r="Q4" s="266" t="s">
        <v>86</v>
      </c>
      <c r="R4" s="267" t="s">
        <v>99</v>
      </c>
      <c r="S4" s="267" t="s">
        <v>88</v>
      </c>
    </row>
    <row r="5" spans="1:20" x14ac:dyDescent="0.4">
      <c r="A5" s="39" t="s">
        <v>188</v>
      </c>
      <c r="B5" s="268">
        <v>1075461.7320675128</v>
      </c>
      <c r="C5" s="269">
        <v>3663826</v>
      </c>
      <c r="E5" s="39" t="s">
        <v>188</v>
      </c>
      <c r="F5" s="268">
        <v>1059147</v>
      </c>
      <c r="G5" s="269">
        <f>F5*$G$3</f>
        <v>4204813.59</v>
      </c>
      <c r="I5" s="39" t="s">
        <v>188</v>
      </c>
      <c r="J5" s="268">
        <v>1074720.0751011034</v>
      </c>
      <c r="K5" s="269">
        <f>J5*$K$3</f>
        <v>4879229.1409590095</v>
      </c>
      <c r="M5" s="39" t="s">
        <v>188</v>
      </c>
      <c r="N5" s="268">
        <v>1168519.7720314125</v>
      </c>
      <c r="O5" s="269">
        <f t="shared" ref="O5:O14" si="0">N5*$O$3</f>
        <v>5305079.7650226122</v>
      </c>
      <c r="Q5" s="39" t="s">
        <v>188</v>
      </c>
      <c r="R5" s="268">
        <v>1077626.6351499653</v>
      </c>
      <c r="S5" s="269">
        <f>R5*$S$3</f>
        <v>4892424.9235808421</v>
      </c>
      <c r="T5" s="50"/>
    </row>
    <row r="6" spans="1:20" x14ac:dyDescent="0.4">
      <c r="A6" s="39" t="s">
        <v>190</v>
      </c>
      <c r="B6" s="268">
        <v>121421.42689276834</v>
      </c>
      <c r="C6" s="269">
        <v>413652</v>
      </c>
      <c r="E6" s="39" t="s">
        <v>190</v>
      </c>
      <c r="F6" s="268">
        <v>121421</v>
      </c>
      <c r="G6" s="269">
        <f t="shared" ref="G6:G14" si="1">F6*$G$3</f>
        <v>482041.37</v>
      </c>
      <c r="I6" s="39" t="s">
        <v>190</v>
      </c>
      <c r="J6" s="268">
        <v>132408.79114461056</v>
      </c>
      <c r="K6" s="269">
        <f t="shared" ref="K6:K14" si="2">J6*$K$3</f>
        <v>601135.91179653199</v>
      </c>
      <c r="M6" s="39" t="s">
        <v>190</v>
      </c>
      <c r="N6" s="268">
        <v>121417.21100126416</v>
      </c>
      <c r="O6" s="269">
        <f t="shared" si="0"/>
        <v>551234.13794573932</v>
      </c>
      <c r="Q6" s="39" t="s">
        <v>190</v>
      </c>
      <c r="R6" s="268">
        <v>121400.04908784504</v>
      </c>
      <c r="S6" s="269">
        <f t="shared" ref="S6:S14" si="3">R6*$S$3</f>
        <v>551156.2228588165</v>
      </c>
      <c r="T6" s="50"/>
    </row>
    <row r="7" spans="1:20" x14ac:dyDescent="0.4">
      <c r="A7" s="39" t="s">
        <v>667</v>
      </c>
      <c r="B7" s="268">
        <v>0</v>
      </c>
      <c r="C7" s="269">
        <v>0</v>
      </c>
      <c r="E7" s="39" t="s">
        <v>667</v>
      </c>
      <c r="F7" s="268">
        <v>0</v>
      </c>
      <c r="G7" s="269">
        <v>0</v>
      </c>
      <c r="I7" s="39" t="s">
        <v>667</v>
      </c>
      <c r="J7" s="268">
        <v>0</v>
      </c>
      <c r="K7" s="269">
        <v>0</v>
      </c>
      <c r="M7" s="39" t="s">
        <v>667</v>
      </c>
      <c r="N7" s="268">
        <v>42638.088851024644</v>
      </c>
      <c r="O7" s="269">
        <f t="shared" si="0"/>
        <v>193576.92338365188</v>
      </c>
      <c r="Q7" s="39" t="s">
        <v>667</v>
      </c>
      <c r="R7" s="268">
        <v>46868.452214105659</v>
      </c>
      <c r="S7" s="269">
        <f t="shared" si="3"/>
        <v>212782.7730520397</v>
      </c>
      <c r="T7" s="50"/>
    </row>
    <row r="8" spans="1:20" x14ac:dyDescent="0.4">
      <c r="A8" s="39" t="s">
        <v>191</v>
      </c>
      <c r="B8" s="268">
        <v>57814.730923479161</v>
      </c>
      <c r="C8" s="269">
        <v>196960</v>
      </c>
      <c r="E8" s="39" t="s">
        <v>191</v>
      </c>
      <c r="F8" s="268">
        <v>58263</v>
      </c>
      <c r="G8" s="269">
        <f t="shared" si="1"/>
        <v>231304.11000000002</v>
      </c>
      <c r="I8" s="39" t="s">
        <v>191</v>
      </c>
      <c r="J8" s="268">
        <v>58263.192463850428</v>
      </c>
      <c r="K8" s="269">
        <f t="shared" si="2"/>
        <v>264514.89378588094</v>
      </c>
      <c r="M8" s="39" t="s">
        <v>191</v>
      </c>
      <c r="N8" s="268">
        <v>58286.961475850505</v>
      </c>
      <c r="O8" s="269">
        <f t="shared" si="0"/>
        <v>264622.80510036129</v>
      </c>
      <c r="Q8" s="39" t="s">
        <v>191</v>
      </c>
      <c r="R8" s="268">
        <v>58286.961475850505</v>
      </c>
      <c r="S8" s="269">
        <f t="shared" si="3"/>
        <v>264622.80510036129</v>
      </c>
      <c r="T8" s="50"/>
    </row>
    <row r="9" spans="1:20" x14ac:dyDescent="0.4">
      <c r="A9" s="39" t="s">
        <v>192</v>
      </c>
      <c r="B9" s="268">
        <v>537962.332719445</v>
      </c>
      <c r="C9" s="269">
        <v>1832701</v>
      </c>
      <c r="E9" s="39" t="s">
        <v>192</v>
      </c>
      <c r="F9" s="268">
        <v>552478</v>
      </c>
      <c r="G9" s="269">
        <f t="shared" si="1"/>
        <v>2193337.66</v>
      </c>
      <c r="I9" s="39" t="s">
        <v>192</v>
      </c>
      <c r="J9" s="268">
        <v>548364.43485711806</v>
      </c>
      <c r="K9" s="269">
        <f t="shared" si="2"/>
        <v>2489574.534251316</v>
      </c>
      <c r="M9" s="39" t="s">
        <v>192</v>
      </c>
      <c r="N9" s="268">
        <v>490439.88505166722</v>
      </c>
      <c r="O9" s="269">
        <f t="shared" si="0"/>
        <v>2226597.0781345693</v>
      </c>
      <c r="Q9" s="39" t="s">
        <v>192</v>
      </c>
      <c r="R9" s="268">
        <v>492817.69656214665</v>
      </c>
      <c r="S9" s="269">
        <f t="shared" si="3"/>
        <v>2237392.3423921457</v>
      </c>
      <c r="T9" s="50"/>
    </row>
    <row r="10" spans="1:20" x14ac:dyDescent="0.4">
      <c r="A10" s="39" t="s">
        <v>193</v>
      </c>
      <c r="B10" s="268">
        <v>120155.48460329951</v>
      </c>
      <c r="C10" s="269">
        <v>409339</v>
      </c>
      <c r="E10" s="39" t="s">
        <v>193</v>
      </c>
      <c r="F10" s="268">
        <v>120155</v>
      </c>
      <c r="G10" s="269">
        <f t="shared" si="1"/>
        <v>477015.35000000003</v>
      </c>
      <c r="I10" s="39" t="s">
        <v>193</v>
      </c>
      <c r="J10" s="268">
        <v>119265.35530160108</v>
      </c>
      <c r="K10" s="269">
        <f>J10*$K$3</f>
        <v>541464.71306926897</v>
      </c>
      <c r="M10" s="39" t="s">
        <v>193</v>
      </c>
      <c r="N10" s="268">
        <v>119265.35530160108</v>
      </c>
      <c r="O10" s="269">
        <f t="shared" si="0"/>
        <v>541464.71306926897</v>
      </c>
      <c r="Q10" s="39" t="s">
        <v>193</v>
      </c>
      <c r="R10" s="268">
        <v>119553.89560966936</v>
      </c>
      <c r="S10" s="269">
        <f t="shared" si="3"/>
        <v>542774.68606789887</v>
      </c>
      <c r="T10" s="50"/>
    </row>
    <row r="11" spans="1:20" x14ac:dyDescent="0.4">
      <c r="A11" s="39" t="s">
        <v>665</v>
      </c>
      <c r="B11" s="268">
        <v>280022.39987629937</v>
      </c>
      <c r="C11" s="269">
        <v>953965</v>
      </c>
      <c r="E11" s="39" t="s">
        <v>665</v>
      </c>
      <c r="F11" s="268">
        <v>265674</v>
      </c>
      <c r="G11" s="269">
        <f t="shared" si="1"/>
        <v>1054725.78</v>
      </c>
      <c r="I11" s="39" t="s">
        <v>665</v>
      </c>
      <c r="J11" s="268">
        <v>315635.41302808712</v>
      </c>
      <c r="K11" s="269">
        <f t="shared" si="2"/>
        <v>1432984.7751475156</v>
      </c>
      <c r="M11" s="39" t="s">
        <v>665</v>
      </c>
      <c r="N11" s="268">
        <v>334042.36306245415</v>
      </c>
      <c r="O11" s="269">
        <f>N11*$O$3</f>
        <v>1516552.328303542</v>
      </c>
      <c r="Q11" s="39" t="s">
        <v>665</v>
      </c>
      <c r="R11" s="268">
        <v>325737.11763969308</v>
      </c>
      <c r="S11" s="269">
        <f>R11*$S$3</f>
        <v>1478846.5140842067</v>
      </c>
      <c r="T11" s="50"/>
    </row>
    <row r="12" spans="1:20" x14ac:dyDescent="0.4">
      <c r="A12" s="39" t="s">
        <v>666</v>
      </c>
      <c r="B12" s="268">
        <v>106166.70000000001</v>
      </c>
      <c r="C12" s="269">
        <v>361683</v>
      </c>
      <c r="E12" s="39" t="s">
        <v>666</v>
      </c>
      <c r="F12" s="268">
        <v>105746</v>
      </c>
      <c r="G12" s="269">
        <f t="shared" si="1"/>
        <v>419811.62</v>
      </c>
      <c r="I12" s="39" t="s">
        <v>666</v>
      </c>
      <c r="J12" s="268">
        <v>105746.41</v>
      </c>
      <c r="K12" s="269">
        <f t="shared" si="2"/>
        <v>480088.70140000002</v>
      </c>
      <c r="M12" s="39" t="s">
        <v>666</v>
      </c>
      <c r="N12" s="268">
        <v>105746.45000000003</v>
      </c>
      <c r="O12" s="269">
        <f>N12*$O$3</f>
        <v>480088.88300000015</v>
      </c>
      <c r="Q12" s="39" t="s">
        <v>666</v>
      </c>
      <c r="R12" s="268">
        <v>105746.45000000003</v>
      </c>
      <c r="S12" s="269">
        <f>R12*$S$3</f>
        <v>480088.88300000015</v>
      </c>
      <c r="T12" s="50"/>
    </row>
    <row r="13" spans="1:20" x14ac:dyDescent="0.4">
      <c r="A13" s="39" t="s">
        <v>189</v>
      </c>
      <c r="B13" s="268">
        <v>59008.361666666671</v>
      </c>
      <c r="C13" s="269">
        <v>201027</v>
      </c>
      <c r="E13" s="39" t="s">
        <v>189</v>
      </c>
      <c r="F13" s="268">
        <v>99140</v>
      </c>
      <c r="G13" s="269">
        <f t="shared" si="1"/>
        <v>393585.80000000005</v>
      </c>
      <c r="I13" s="39" t="s">
        <v>189</v>
      </c>
      <c r="J13" s="268">
        <v>99598.392846122995</v>
      </c>
      <c r="K13" s="269">
        <f t="shared" si="2"/>
        <v>452176.70352139842</v>
      </c>
      <c r="M13" s="39" t="s">
        <v>189</v>
      </c>
      <c r="N13" s="268">
        <v>99610.067310203041</v>
      </c>
      <c r="O13" s="269">
        <f>N13*$O$3</f>
        <v>452229.70558832178</v>
      </c>
      <c r="Q13" s="39" t="s">
        <v>189</v>
      </c>
      <c r="R13" s="268">
        <v>99610.067310203041</v>
      </c>
      <c r="S13" s="269">
        <f>R13*$S$3</f>
        <v>452229.70558832178</v>
      </c>
      <c r="T13" s="50"/>
    </row>
    <row r="14" spans="1:20" x14ac:dyDescent="0.4">
      <c r="A14" s="39" t="s">
        <v>194</v>
      </c>
      <c r="B14" s="268">
        <v>390796.88477064227</v>
      </c>
      <c r="C14" s="269">
        <v>1331346</v>
      </c>
      <c r="E14" s="39" t="s">
        <v>194</v>
      </c>
      <c r="F14" s="268">
        <v>396133</v>
      </c>
      <c r="G14" s="269">
        <f t="shared" si="1"/>
        <v>1572648.01</v>
      </c>
      <c r="I14" s="39" t="s">
        <v>194</v>
      </c>
      <c r="J14" s="268">
        <v>377998.91813531332</v>
      </c>
      <c r="K14" s="269">
        <f t="shared" si="2"/>
        <v>1716115.0883343224</v>
      </c>
      <c r="M14" s="39" t="s">
        <v>194</v>
      </c>
      <c r="N14" s="268">
        <v>381580.02507269708</v>
      </c>
      <c r="O14" s="269">
        <f>N14*$O$3</f>
        <v>1732373.3138300448</v>
      </c>
      <c r="Q14" s="39" t="s">
        <v>194</v>
      </c>
      <c r="R14" s="268">
        <v>469092.89361552801</v>
      </c>
      <c r="S14" s="269">
        <f>R14*$S$3</f>
        <v>2129681.7370144972</v>
      </c>
      <c r="T14" s="50"/>
    </row>
    <row r="15" spans="1:20" ht="15" thickBot="1" x14ac:dyDescent="0.45">
      <c r="A15" s="241"/>
      <c r="B15" s="270">
        <f>SUM(B5:B14)</f>
        <v>2748810.0535201132</v>
      </c>
      <c r="C15" s="271">
        <f>SUM(C5:C14)</f>
        <v>9364499</v>
      </c>
      <c r="E15" s="241"/>
      <c r="F15" s="270">
        <f>SUM(F5:F14)</f>
        <v>2778157</v>
      </c>
      <c r="G15" s="271">
        <f>SUM(G5:G14)</f>
        <v>11029283.289999999</v>
      </c>
      <c r="I15" s="241"/>
      <c r="J15" s="270">
        <f>SUM(J5:J14)</f>
        <v>2832000.9828778072</v>
      </c>
      <c r="K15" s="271">
        <f>SUM(K5:K14)</f>
        <v>12857284.462265246</v>
      </c>
      <c r="M15" s="241"/>
      <c r="N15" s="270">
        <f>SUM(N5:N14)</f>
        <v>2921546.1791581744</v>
      </c>
      <c r="O15" s="271">
        <f>SUM(O5:O14)</f>
        <v>13263819.65337811</v>
      </c>
      <c r="Q15" s="241"/>
      <c r="R15" s="270">
        <f>SUM(R5:R14)</f>
        <v>2916740.2186650066</v>
      </c>
      <c r="S15" s="271">
        <f>SUM(S5:S14)</f>
        <v>13242000.592739129</v>
      </c>
    </row>
    <row r="17" spans="1:20" x14ac:dyDescent="0.4">
      <c r="T17" s="50"/>
    </row>
    <row r="18" spans="1:20" x14ac:dyDescent="0.4">
      <c r="A18" s="39" t="s">
        <v>88</v>
      </c>
      <c r="C18" s="257">
        <f>C15</f>
        <v>9364499</v>
      </c>
      <c r="E18" s="39" t="s">
        <v>88</v>
      </c>
      <c r="G18" s="257">
        <f>G15</f>
        <v>11029283.289999999</v>
      </c>
      <c r="I18" s="39" t="s">
        <v>88</v>
      </c>
      <c r="K18" s="257">
        <f>K15</f>
        <v>12857284.462265246</v>
      </c>
      <c r="M18" s="39" t="s">
        <v>88</v>
      </c>
      <c r="O18" s="257">
        <f>O15</f>
        <v>13263819.65337811</v>
      </c>
      <c r="Q18" s="39" t="s">
        <v>88</v>
      </c>
      <c r="S18" s="257">
        <f>S15</f>
        <v>13242000.592739129</v>
      </c>
    </row>
    <row r="19" spans="1:20" x14ac:dyDescent="0.4">
      <c r="A19" s="39" t="s">
        <v>199</v>
      </c>
      <c r="C19" s="257">
        <f>'Project Status'!S91</f>
        <v>8797286.2599999998</v>
      </c>
      <c r="E19" s="39" t="s">
        <v>199</v>
      </c>
      <c r="G19" s="257">
        <f>'Project Status'!T91</f>
        <v>11427472.939999999</v>
      </c>
      <c r="I19" s="39" t="s">
        <v>199</v>
      </c>
      <c r="K19" s="257">
        <f>'Project Status'!U91</f>
        <v>10171078.440000001</v>
      </c>
      <c r="M19" s="39" t="s">
        <v>199</v>
      </c>
      <c r="O19" s="257">
        <f>'Project Status'!X91</f>
        <v>10023336.219999999</v>
      </c>
      <c r="Q19" s="39" t="s">
        <v>199</v>
      </c>
      <c r="S19" s="257">
        <f>'Project Status'!AB91</f>
        <v>0</v>
      </c>
    </row>
    <row r="20" spans="1:20" ht="15" thickBot="1" x14ac:dyDescent="0.45">
      <c r="A20" s="39" t="s">
        <v>122</v>
      </c>
      <c r="C20" s="272">
        <f>C18-C19</f>
        <v>567212.74000000022</v>
      </c>
      <c r="E20" s="39" t="s">
        <v>122</v>
      </c>
      <c r="G20" s="272">
        <f>G18-G19</f>
        <v>-398189.65000000037</v>
      </c>
      <c r="I20" s="39" t="s">
        <v>122</v>
      </c>
      <c r="K20" s="272">
        <f>K18-K19</f>
        <v>2686206.0222652443</v>
      </c>
      <c r="M20" s="39" t="s">
        <v>122</v>
      </c>
      <c r="O20" s="272">
        <f>O18-O19</f>
        <v>3240483.4333781116</v>
      </c>
      <c r="Q20" s="39" t="s">
        <v>122</v>
      </c>
      <c r="S20" s="272">
        <f>S18-S19</f>
        <v>13242000.592739129</v>
      </c>
    </row>
    <row r="21" spans="1:20" x14ac:dyDescent="0.4">
      <c r="M21" s="273"/>
      <c r="N21" s="167"/>
      <c r="Q21" s="273"/>
      <c r="R21" s="167"/>
    </row>
    <row r="23" spans="1:20" x14ac:dyDescent="0.4">
      <c r="O23" s="39" t="b">
        <f>(C15+G15+K15+O15)='Summary_for Web-1'!C16</f>
        <v>1</v>
      </c>
    </row>
    <row r="25" spans="1:20" x14ac:dyDescent="0.4">
      <c r="A25" s="273"/>
      <c r="E25" s="273"/>
      <c r="I25" s="273"/>
    </row>
    <row r="27" spans="1:20" x14ac:dyDescent="0.4">
      <c r="O27" s="274"/>
      <c r="S27" s="274"/>
    </row>
    <row r="28" spans="1:20" x14ac:dyDescent="0.4">
      <c r="O28" s="257"/>
      <c r="S28" s="257"/>
    </row>
    <row r="29" spans="1:20" x14ac:dyDescent="0.4">
      <c r="O29" s="257"/>
      <c r="S29" s="257"/>
    </row>
  </sheetData>
  <sortState xmlns:xlrd2="http://schemas.microsoft.com/office/spreadsheetml/2017/richdata2" ref="M5:O14">
    <sortCondition ref="M5:M14"/>
  </sortState>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B7F2E-F84B-4241-8CB4-0A3CBAD2CEE9}">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3046875" bestFit="1" customWidth="1"/>
    <col min="3" max="3" width="6.69140625" bestFit="1" customWidth="1"/>
    <col min="4" max="4" width="40.15234375" bestFit="1" customWidth="1"/>
    <col min="5" max="5" width="30.3046875" bestFit="1" customWidth="1"/>
    <col min="6" max="6" width="17.53515625" bestFit="1" customWidth="1"/>
    <col min="7" max="7" width="12.3046875" bestFit="1" customWidth="1"/>
    <col min="8" max="8" width="16.53515625" bestFit="1" customWidth="1"/>
    <col min="9" max="9" width="12.15234375" bestFit="1" customWidth="1"/>
    <col min="11" max="11" width="16.6914062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20832</v>
      </c>
      <c r="B4" s="9">
        <f>VLOOKUP(A4,'Project Status'!C:D,2,FALSE)</f>
        <v>8220</v>
      </c>
      <c r="C4" s="9">
        <f>VLOOKUP(A4,'Project Status'!C:E,3,FALSE)</f>
        <v>0</v>
      </c>
      <c r="D4" s="9" t="str">
        <f>VLOOKUP(A4,'Project Status'!C:F,4,FALSE)</f>
        <v>12000 - Arts and Science: Office of the Dean</v>
      </c>
      <c r="E4" s="9" t="str">
        <f>VLOOKUP(A4,'Project Status'!C:I,7,FALSE)</f>
        <v>Wilson Hall - HVAC Replacement</v>
      </c>
      <c r="F4" s="9" t="str">
        <f>VLOOKUP(A4,'Project Status'!C:K,8,FALSE)</f>
        <v>Complete</v>
      </c>
      <c r="G4" s="9" t="str">
        <f>VLOOKUP(A4,'Project Status'!C:L,9,FALSE)</f>
        <v>Finalized</v>
      </c>
      <c r="H4" s="25">
        <f>VLOOKUP(A4,'Project Status'!C:N,11,FALSE)</f>
        <v>24000</v>
      </c>
      <c r="I4" s="35">
        <f>VLOOKUP(A4,'Project Status'!C:O,13,FALSE)</f>
        <v>24000</v>
      </c>
    </row>
    <row r="8" spans="1:11" x14ac:dyDescent="0.4">
      <c r="E8" s="19" t="s">
        <v>123</v>
      </c>
    </row>
    <row r="9" spans="1:11" x14ac:dyDescent="0.4">
      <c r="E9" s="11" t="s">
        <v>304</v>
      </c>
      <c r="F9" t="s">
        <v>138</v>
      </c>
      <c r="H9" s="20">
        <v>24000</v>
      </c>
    </row>
    <row r="10" spans="1:11" x14ac:dyDescent="0.4">
      <c r="E10" s="11"/>
      <c r="H10" s="20"/>
    </row>
    <row r="12" spans="1:11" x14ac:dyDescent="0.4">
      <c r="F12" s="8"/>
      <c r="G12" s="8"/>
      <c r="H12" s="23"/>
    </row>
    <row r="18" spans="5:8" x14ac:dyDescent="0.4">
      <c r="E18" s="28" t="s">
        <v>250</v>
      </c>
      <c r="F18" s="29"/>
      <c r="G18" s="28"/>
      <c r="H18" s="30">
        <f>SUM(H9:H17)</f>
        <v>24000</v>
      </c>
    </row>
    <row r="20" spans="5:8" x14ac:dyDescent="0.4">
      <c r="E20" s="31" t="s">
        <v>135</v>
      </c>
      <c r="F20" s="31"/>
      <c r="G20" s="31"/>
      <c r="H20" s="32">
        <f>H4-H18</f>
        <v>0</v>
      </c>
    </row>
  </sheetData>
  <hyperlinks>
    <hyperlink ref="K1" location="'Project Status'!A1" display="'Project Status'!A1" xr:uid="{9BBBF562-A58E-43EF-88BF-D8E408EC28DC}"/>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BB043-DAD8-4B06-A827-AEFDC537BC51}">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3046875" bestFit="1" customWidth="1"/>
    <col min="3" max="3" width="6.69140625" bestFit="1" customWidth="1"/>
    <col min="4" max="4" width="40.15234375" bestFit="1" customWidth="1"/>
    <col min="5" max="5" width="27.69140625" bestFit="1" customWidth="1"/>
    <col min="6" max="6" width="7" bestFit="1" customWidth="1"/>
    <col min="7" max="7" width="12.3046875" bestFit="1" customWidth="1"/>
    <col min="8" max="8" width="16.53515625" bestFit="1" customWidth="1"/>
    <col min="9" max="9" width="12.15234375" bestFit="1" customWidth="1"/>
    <col min="11" max="11" width="16.6914062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20833</v>
      </c>
      <c r="B4" s="9">
        <f>VLOOKUP(A4,'Project Status'!C:D,2,FALSE)</f>
        <v>8215</v>
      </c>
      <c r="C4" s="9">
        <f>VLOOKUP(A4,'Project Status'!C:E,3,FALSE)</f>
        <v>0</v>
      </c>
      <c r="D4" s="9" t="str">
        <f>VLOOKUP(A4,'Project Status'!C:F,4,FALSE)</f>
        <v>12000 - Arts and Science: Office of the Dean</v>
      </c>
      <c r="E4" s="9" t="str">
        <f>VLOOKUP(A4,'Project Status'!C:I,7,FALSE)</f>
        <v>SC5 - HVAC Replacement (Design Services)</v>
      </c>
      <c r="F4" s="9" t="str">
        <f>VLOOKUP(A4,'Project Status'!C:K,8,FALSE)</f>
        <v>Complete</v>
      </c>
      <c r="G4" s="9" t="str">
        <f>VLOOKUP(A4,'Project Status'!C:L,9,FALSE)</f>
        <v>Finalized</v>
      </c>
      <c r="H4" s="25">
        <f>VLOOKUP(A4,'Project Status'!C:N,11,FALSE)</f>
        <v>24000</v>
      </c>
      <c r="I4" s="35">
        <f>VLOOKUP(A4,'Project Status'!C:O,13,FALSE)</f>
        <v>24000</v>
      </c>
    </row>
    <row r="8" spans="1:11" x14ac:dyDescent="0.4">
      <c r="E8" s="19" t="s">
        <v>123</v>
      </c>
    </row>
    <row r="9" spans="1:11" x14ac:dyDescent="0.4">
      <c r="E9" s="11" t="s">
        <v>304</v>
      </c>
      <c r="F9" t="s">
        <v>138</v>
      </c>
      <c r="H9" s="20">
        <v>24000</v>
      </c>
    </row>
    <row r="10" spans="1:11" x14ac:dyDescent="0.4">
      <c r="E10" s="11"/>
      <c r="H10" s="20"/>
    </row>
    <row r="12" spans="1:11" x14ac:dyDescent="0.4">
      <c r="F12" s="8"/>
      <c r="G12" s="8"/>
      <c r="H12" s="23"/>
    </row>
    <row r="18" spans="5:8" x14ac:dyDescent="0.4">
      <c r="E18" s="28" t="s">
        <v>250</v>
      </c>
      <c r="F18" s="29"/>
      <c r="G18" s="28"/>
      <c r="H18" s="30">
        <f>SUM(H9:H17)</f>
        <v>24000</v>
      </c>
    </row>
    <row r="20" spans="5:8" x14ac:dyDescent="0.4">
      <c r="E20" s="31" t="s">
        <v>135</v>
      </c>
      <c r="F20" s="31"/>
      <c r="G20" s="31"/>
      <c r="H20" s="32">
        <f>H4-H18</f>
        <v>0</v>
      </c>
    </row>
  </sheetData>
  <hyperlinks>
    <hyperlink ref="K1" location="'Project Status'!A1" display="'Project Status'!A1" xr:uid="{B25E1A88-3C72-4B3E-99ED-E68E24C515C3}"/>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AB3B5-6CEC-4435-AA6E-80E17200EDE5}">
  <sheetPr>
    <tabColor theme="1"/>
  </sheetPr>
  <dimension ref="A1:K20"/>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10.3046875" bestFit="1" customWidth="1"/>
    <col min="4" max="4" width="28.3046875" bestFit="1" customWidth="1"/>
    <col min="5" max="5" width="50.3046875" bestFit="1" customWidth="1"/>
    <col min="6" max="6" width="11.69140625" bestFit="1" customWidth="1"/>
    <col min="7" max="7" width="10.3046875" bestFit="1" customWidth="1"/>
    <col min="8" max="9" width="16.84375" customWidth="1"/>
    <col min="11" max="11" width="15.6914062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20772</v>
      </c>
      <c r="B4" s="9">
        <f>VLOOKUP(A4,'Project Status'!C:D,2,FALSE)</f>
        <v>8675</v>
      </c>
      <c r="C4" s="9" t="str">
        <f>VLOOKUP(A4,'Project Status'!C:E,3,FALSE)</f>
        <v>CP_400235</v>
      </c>
      <c r="D4" s="9" t="str">
        <f>VLOOKUP(A4,'Project Status'!C:F,4,FALSE)</f>
        <v>20100 - Owen: Business Affairs</v>
      </c>
      <c r="E4" s="9" t="str">
        <f>VLOOKUP(A4,'Project Status'!C:I,7,FALSE)</f>
        <v>OGSM Old Mechanical- Slate Roof &amp; Window Replacement</v>
      </c>
      <c r="F4" s="9" t="str">
        <f>VLOOKUP(A4,'Project Status'!C:K,9,FALSE)</f>
        <v>Finalized</v>
      </c>
      <c r="G4" s="9" t="str">
        <f>VLOOKUP(A4,'Project Status'!C:L,10,FALSE)</f>
        <v>Ben Bedock</v>
      </c>
      <c r="H4" s="25">
        <f>VLOOKUP(A4,'Project Status'!C:N,12,FALSE)</f>
        <v>3200000</v>
      </c>
      <c r="I4" s="35">
        <f>VLOOKUP(A4,'Project Status'!C:Q,15,FALSE)</f>
        <v>2977388.14</v>
      </c>
    </row>
    <row r="8" spans="1:11" x14ac:dyDescent="0.4">
      <c r="E8" s="19" t="s">
        <v>123</v>
      </c>
    </row>
    <row r="9" spans="1:11" x14ac:dyDescent="0.4">
      <c r="E9" s="11" t="s">
        <v>383</v>
      </c>
      <c r="F9" t="s">
        <v>138</v>
      </c>
      <c r="H9" s="20">
        <v>1600000</v>
      </c>
    </row>
    <row r="10" spans="1:11" x14ac:dyDescent="0.4">
      <c r="E10" s="11" t="s">
        <v>396</v>
      </c>
      <c r="F10" t="s">
        <v>138</v>
      </c>
      <c r="H10" s="20">
        <v>1600000</v>
      </c>
    </row>
    <row r="11" spans="1:11" x14ac:dyDescent="0.4">
      <c r="E11" s="11" t="s">
        <v>591</v>
      </c>
      <c r="F11" t="s">
        <v>286</v>
      </c>
      <c r="H11" s="38">
        <v>-222611.86</v>
      </c>
    </row>
    <row r="12" spans="1:11" x14ac:dyDescent="0.4">
      <c r="F12" s="8"/>
      <c r="G12" s="8"/>
      <c r="H12" s="23"/>
    </row>
    <row r="18" spans="5:8" x14ac:dyDescent="0.4">
      <c r="E18" s="28" t="s">
        <v>250</v>
      </c>
      <c r="F18" s="29"/>
      <c r="G18" s="28"/>
      <c r="H18" s="30">
        <f>SUM(H9:H17)</f>
        <v>2977388.14</v>
      </c>
    </row>
    <row r="20" spans="5:8" x14ac:dyDescent="0.4">
      <c r="E20" s="31" t="s">
        <v>135</v>
      </c>
      <c r="F20" s="31"/>
      <c r="G20" s="31"/>
      <c r="H20" s="32">
        <f>I4-H18</f>
        <v>0</v>
      </c>
    </row>
  </sheetData>
  <phoneticPr fontId="5" type="noConversion"/>
  <hyperlinks>
    <hyperlink ref="K1" location="'Project Status'!A1" display="'Project Status'!A1" xr:uid="{83DBAEF1-0A37-4046-962D-54E43C232E2A}"/>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233B2-AA93-4F1E-A806-ECA2D4C5BE0E}">
  <sheetPr>
    <tabColor rgb="FFFF66CC"/>
  </sheetPr>
  <dimension ref="A1:K25"/>
  <sheetViews>
    <sheetView zoomScale="90" zoomScaleNormal="90" workbookViewId="0">
      <selection activeCell="H20" sqref="H20"/>
    </sheetView>
  </sheetViews>
  <sheetFormatPr defaultColWidth="9.3046875" defaultRowHeight="14.6" x14ac:dyDescent="0.4"/>
  <cols>
    <col min="1" max="1" width="8.3828125" style="39" bestFit="1" customWidth="1"/>
    <col min="2" max="2" width="6.3828125" style="39" customWidth="1"/>
    <col min="3" max="3" width="10.69140625" style="39" bestFit="1" customWidth="1"/>
    <col min="4" max="4" width="39.3046875" style="39" bestFit="1" customWidth="1"/>
    <col min="5" max="5" width="38.84375" style="39" bestFit="1" customWidth="1"/>
    <col min="6" max="6" width="8.69140625" style="39" bestFit="1" customWidth="1"/>
    <col min="7" max="7" width="11.3046875" style="39" bestFit="1" customWidth="1"/>
    <col min="8" max="8" width="16.53515625" style="39" bestFit="1" customWidth="1"/>
    <col min="9" max="9" width="12.8437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20811</v>
      </c>
      <c r="B4" s="46">
        <f>VLOOKUP(A4,'Project Status'!C:D,2,FALSE)</f>
        <v>8729</v>
      </c>
      <c r="C4" s="46" t="str">
        <f>VLOOKUP(A4,'Project Status'!C:E,3,FALSE)</f>
        <v>CP_400224</v>
      </c>
      <c r="D4" s="46" t="str">
        <f>VLOOKUP(A4,'Project Status'!C:F,4,FALSE)</f>
        <v>21000 - Peabody College: Office of the Dean</v>
      </c>
      <c r="E4" s="46" t="str">
        <f>VLOOKUP(A4,'Project Status'!C:I,7,FALSE)</f>
        <v>One Magnolia Circle - Retaining Wall Repair</v>
      </c>
      <c r="F4" s="46" t="str">
        <f>VLOOKUP(A4,'Project Status'!C:K,9,FALSE)</f>
        <v>Finalized</v>
      </c>
      <c r="G4" s="46" t="str">
        <f>VLOOKUP(A4,'Project Status'!C:L,10,FALSE)</f>
        <v>Ben Bedock</v>
      </c>
      <c r="H4" s="47">
        <f>VLOOKUP(A4,'Project Status'!C:N,12,FALSE)</f>
        <v>285233.27</v>
      </c>
      <c r="I4" s="48">
        <f>VLOOKUP(A4,'Project Status'!C:Q,15,FALSE)</f>
        <v>123523.71</v>
      </c>
    </row>
    <row r="8" spans="1:11" x14ac:dyDescent="0.4">
      <c r="E8" s="52" t="s">
        <v>123</v>
      </c>
    </row>
    <row r="9" spans="1:11" x14ac:dyDescent="0.4">
      <c r="E9" s="53" t="s">
        <v>370</v>
      </c>
      <c r="F9" s="39" t="s">
        <v>138</v>
      </c>
      <c r="H9" s="49">
        <v>285233.27</v>
      </c>
    </row>
    <row r="10" spans="1:11" x14ac:dyDescent="0.4">
      <c r="E10" s="53" t="s">
        <v>668</v>
      </c>
      <c r="F10" s="39" t="s">
        <v>286</v>
      </c>
      <c r="H10" s="49">
        <v>-161709.56</v>
      </c>
    </row>
    <row r="11" spans="1:11" x14ac:dyDescent="0.4">
      <c r="E11" s="53"/>
    </row>
    <row r="12" spans="1:11" x14ac:dyDescent="0.4">
      <c r="F12" s="56"/>
      <c r="G12" s="56"/>
      <c r="H12" s="69"/>
    </row>
    <row r="18" spans="2:8" x14ac:dyDescent="0.4">
      <c r="E18" s="64" t="s">
        <v>250</v>
      </c>
      <c r="F18" s="65"/>
      <c r="G18" s="64"/>
      <c r="H18" s="66">
        <f>SUM(H9:H17)</f>
        <v>123523.71000000002</v>
      </c>
    </row>
    <row r="20" spans="2:8" x14ac:dyDescent="0.4">
      <c r="E20" s="67" t="s">
        <v>135</v>
      </c>
      <c r="F20" s="67"/>
      <c r="G20" s="67"/>
      <c r="H20" s="68">
        <f>I4-H18</f>
        <v>0</v>
      </c>
    </row>
    <row r="25" spans="2:8" x14ac:dyDescent="0.4">
      <c r="B25" s="39" t="s">
        <v>371</v>
      </c>
    </row>
  </sheetData>
  <hyperlinks>
    <hyperlink ref="K1" location="'Project Status'!A1" display="'Project Status'!A1" xr:uid="{C3D9E244-9ED6-4DCA-82E8-3F990677484D}"/>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11D44-6C59-423E-836E-B1E6A9EC3484}">
  <sheetPr>
    <tabColor theme="4"/>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5.3046875" style="39" bestFit="1" customWidth="1"/>
    <col min="3" max="3" width="10.69140625" style="39" bestFit="1" customWidth="1"/>
    <col min="4" max="4" width="34.69140625" style="39" bestFit="1" customWidth="1"/>
    <col min="5" max="5" width="29.53515625" style="39" bestFit="1" customWidth="1"/>
    <col min="6" max="7" width="12.15234375" style="39" bestFit="1" customWidth="1"/>
    <col min="8" max="8" width="16.53515625" style="39" bestFit="1" customWidth="1"/>
    <col min="9" max="9" width="12.8437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20812</v>
      </c>
      <c r="B4" s="46">
        <f>VLOOKUP(A4,'Project Status'!C:D,2,FALSE)</f>
        <v>8923</v>
      </c>
      <c r="C4" s="46" t="str">
        <f>VLOOKUP(A4,'Project Status'!C:E,3,FALSE)</f>
        <v>CP_400282</v>
      </c>
      <c r="D4" s="46" t="str">
        <f>VLOOKUP(A4,'Project Status'!C:F,4,FALSE)</f>
        <v>15000 - Engineering: Office of the Dean</v>
      </c>
      <c r="E4" s="46" t="str">
        <f>VLOOKUP(A4,'Project Status'!C:I,7,FALSE)</f>
        <v>1025 16th Avenue - Patio Repairs</v>
      </c>
      <c r="F4" s="46" t="str">
        <f>VLOOKUP(A4,'Project Status'!C:K,9,FALSE)</f>
        <v>Construction</v>
      </c>
      <c r="G4" s="46" t="str">
        <f>VLOOKUP(A4,'Project Status'!C:L,10,FALSE)</f>
        <v>Sean Rewers</v>
      </c>
      <c r="H4" s="47">
        <f>VLOOKUP(A4,'Project Status'!C:N,12,FALSE)</f>
        <v>486135</v>
      </c>
      <c r="I4" s="48">
        <f>VLOOKUP(A4,'Project Status'!C:Q,15,FALSE)</f>
        <v>377024.69</v>
      </c>
    </row>
    <row r="8" spans="1:11" x14ac:dyDescent="0.4">
      <c r="E8" s="52" t="s">
        <v>123</v>
      </c>
    </row>
    <row r="9" spans="1:11" x14ac:dyDescent="0.4">
      <c r="E9" s="53" t="s">
        <v>409</v>
      </c>
      <c r="F9" s="39" t="s">
        <v>138</v>
      </c>
      <c r="H9" s="49">
        <v>4500</v>
      </c>
    </row>
    <row r="10" spans="1:11" x14ac:dyDescent="0.4">
      <c r="E10" s="53" t="s">
        <v>409</v>
      </c>
      <c r="F10" s="39" t="s">
        <v>203</v>
      </c>
      <c r="H10" s="49">
        <v>34000</v>
      </c>
    </row>
    <row r="11" spans="1:11" x14ac:dyDescent="0.4">
      <c r="E11" s="53" t="s">
        <v>452</v>
      </c>
      <c r="F11" s="39" t="s">
        <v>145</v>
      </c>
      <c r="H11" s="49">
        <v>447635</v>
      </c>
    </row>
    <row r="12" spans="1:11" x14ac:dyDescent="0.4">
      <c r="F12" s="56"/>
      <c r="G12" s="56"/>
      <c r="H12" s="69"/>
    </row>
    <row r="18" spans="5:8" x14ac:dyDescent="0.4">
      <c r="E18" s="64" t="s">
        <v>250</v>
      </c>
      <c r="F18" s="65"/>
      <c r="G18" s="64"/>
      <c r="H18" s="66">
        <f>SUM(H9:H17)</f>
        <v>486135</v>
      </c>
    </row>
    <row r="20" spans="5:8" x14ac:dyDescent="0.4">
      <c r="E20" s="67" t="s">
        <v>135</v>
      </c>
      <c r="F20" s="67"/>
      <c r="G20" s="67"/>
      <c r="H20" s="68">
        <f>H4-H18</f>
        <v>0</v>
      </c>
    </row>
  </sheetData>
  <phoneticPr fontId="5" type="noConversion"/>
  <hyperlinks>
    <hyperlink ref="K1" location="'Project Status'!A1" display="'Project Status'!A1" xr:uid="{6A593F18-1579-43D5-9A10-9B2E0E15F34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48A04-F557-4BEB-A4C1-92583AFD49FF}">
  <sheetPr>
    <tabColor rgb="FFFFFF93"/>
  </sheetPr>
  <dimension ref="A1:K20"/>
  <sheetViews>
    <sheetView zoomScale="90" zoomScaleNormal="90" workbookViewId="0">
      <selection activeCell="H20" sqref="H20"/>
    </sheetView>
  </sheetViews>
  <sheetFormatPr defaultColWidth="7.69140625" defaultRowHeight="14.6" x14ac:dyDescent="0.4"/>
  <cols>
    <col min="1" max="1" width="8.3828125" style="39" bestFit="1" customWidth="1"/>
    <col min="2" max="2" width="5.3046875" style="39" bestFit="1" customWidth="1"/>
    <col min="3" max="3" width="10.69140625" style="39" bestFit="1" customWidth="1"/>
    <col min="4" max="4" width="39.3046875" style="39" bestFit="1" customWidth="1"/>
    <col min="5" max="5" width="40.15234375" style="39" bestFit="1" customWidth="1"/>
    <col min="6" max="6" width="20.69140625" style="39" bestFit="1" customWidth="1"/>
    <col min="7" max="7" width="11.3046875" style="39" bestFit="1" customWidth="1"/>
    <col min="8" max="8" width="16.53515625" style="39" bestFit="1" customWidth="1"/>
    <col min="9" max="9" width="12.84375" style="39" bestFit="1" customWidth="1"/>
    <col min="10" max="10" width="7.69140625" style="39"/>
    <col min="11" max="11" width="16.3046875" style="39" bestFit="1" customWidth="1"/>
    <col min="12" max="16384" width="7.6914062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20857</v>
      </c>
      <c r="B4" s="46">
        <f>VLOOKUP(A4,'Project Status'!C:D,2,FALSE)</f>
        <v>8427</v>
      </c>
      <c r="C4" s="46" t="str">
        <f>VLOOKUP(A4,'Project Status'!C:E,3,FALSE)</f>
        <v>CP_400227</v>
      </c>
      <c r="D4" s="46" t="str">
        <f>VLOOKUP(A4,'Project Status'!C:F,4,FALSE)</f>
        <v>21000 - Peabody College: Office of the Dean</v>
      </c>
      <c r="E4" s="46" t="str">
        <f>VLOOKUP(A4,'Project Status'!C:I,7,FALSE)</f>
        <v>One Magnolia Circle - Elevator Modernization</v>
      </c>
      <c r="F4" s="46" t="str">
        <f>VLOOKUP(A4,'Project Status'!C:K,9,FALSE)</f>
        <v>Construction Closeout</v>
      </c>
      <c r="G4" s="46" t="str">
        <f>VLOOKUP(A4,'Project Status'!C:L,10,FALSE)</f>
        <v>Ben Bedock</v>
      </c>
      <c r="H4" s="47">
        <f>VLOOKUP(A4,'Project Status'!C:N,12,FALSE)</f>
        <v>499184</v>
      </c>
      <c r="I4" s="48">
        <f>VLOOKUP(A4,'Project Status'!C:Q,15,FALSE)</f>
        <v>481346.67</v>
      </c>
    </row>
    <row r="8" spans="1:11" x14ac:dyDescent="0.4">
      <c r="E8" s="52" t="s">
        <v>123</v>
      </c>
    </row>
    <row r="9" spans="1:11" x14ac:dyDescent="0.4">
      <c r="E9" s="53" t="s">
        <v>315</v>
      </c>
      <c r="F9" s="39" t="s">
        <v>138</v>
      </c>
      <c r="H9" s="49">
        <v>17600</v>
      </c>
    </row>
    <row r="10" spans="1:11" x14ac:dyDescent="0.4">
      <c r="E10" s="53" t="s">
        <v>331</v>
      </c>
      <c r="F10" s="39" t="s">
        <v>203</v>
      </c>
      <c r="H10" s="49">
        <v>4000</v>
      </c>
    </row>
    <row r="11" spans="1:11" x14ac:dyDescent="0.4">
      <c r="E11" s="53" t="s">
        <v>362</v>
      </c>
      <c r="F11" s="39" t="s">
        <v>145</v>
      </c>
      <c r="H11" s="49">
        <v>477584</v>
      </c>
    </row>
    <row r="12" spans="1:11" x14ac:dyDescent="0.4">
      <c r="F12" s="56"/>
      <c r="G12" s="56"/>
      <c r="H12" s="69"/>
    </row>
    <row r="18" spans="5:8" x14ac:dyDescent="0.4">
      <c r="E18" s="64" t="s">
        <v>250</v>
      </c>
      <c r="F18" s="65"/>
      <c r="G18" s="64"/>
      <c r="H18" s="66">
        <f>SUM(H9:H17)</f>
        <v>499184</v>
      </c>
    </row>
    <row r="20" spans="5:8" x14ac:dyDescent="0.4">
      <c r="E20" s="67" t="s">
        <v>135</v>
      </c>
      <c r="F20" s="67"/>
      <c r="G20" s="67"/>
      <c r="H20" s="68">
        <f>H4-H18</f>
        <v>0</v>
      </c>
    </row>
  </sheetData>
  <hyperlinks>
    <hyperlink ref="K1" location="'Project Status'!A1" display="'Project Status'!A1" xr:uid="{44D30970-1FF4-45A8-8754-6C4835EEDD6D}"/>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89A07-3731-4540-82EA-837CB5DB24CB}">
  <sheetPr>
    <tabColor theme="1"/>
  </sheetPr>
  <dimension ref="A1:K20"/>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10.3046875" bestFit="1" customWidth="1"/>
    <col min="4" max="4" width="25.53515625" bestFit="1" customWidth="1"/>
    <col min="5" max="5" width="33.3046875" bestFit="1" customWidth="1"/>
    <col min="6" max="6" width="16.53515625" bestFit="1" customWidth="1"/>
    <col min="7" max="7" width="10.3046875" bestFit="1" customWidth="1"/>
    <col min="8" max="9" width="16.53515625" customWidth="1"/>
    <col min="11" max="11" width="15.6914062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20884</v>
      </c>
      <c r="B4" s="9">
        <f>VLOOKUP(A4,'Project Status'!C:D,2,FALSE)</f>
        <v>8807</v>
      </c>
      <c r="C4" s="9" t="str">
        <f>VLOOKUP(A4,'Project Status'!C:E,3,FALSE)</f>
        <v>CP_400251</v>
      </c>
      <c r="D4" s="9" t="str">
        <f>VLOOKUP(A4,'Project Status'!C:F,4,FALSE)</f>
        <v>17000 - Law: Office of the Dean</v>
      </c>
      <c r="E4" s="9" t="str">
        <f>VLOOKUP(A4,'Project Status'!C:I,7,FALSE)</f>
        <v>Law School - Exterior Window Painting</v>
      </c>
      <c r="F4" s="9" t="str">
        <f>VLOOKUP(A4,'Project Status'!C:K,9,FALSE)</f>
        <v>Finalized</v>
      </c>
      <c r="G4" s="9" t="str">
        <f>VLOOKUP(A4,'Project Status'!C:L,10,FALSE)</f>
        <v>Ben Bedock</v>
      </c>
      <c r="H4" s="25">
        <f>VLOOKUP(A4,'Project Status'!C:N,12,FALSE)</f>
        <v>675650</v>
      </c>
      <c r="I4" s="35">
        <f>VLOOKUP(A4,'Project Status'!C:Q,15,FALSE)</f>
        <v>480318</v>
      </c>
    </row>
    <row r="8" spans="1:11" x14ac:dyDescent="0.4">
      <c r="E8" s="19" t="s">
        <v>123</v>
      </c>
    </row>
    <row r="9" spans="1:11" x14ac:dyDescent="0.4">
      <c r="E9" s="11" t="s">
        <v>370</v>
      </c>
      <c r="F9" t="s">
        <v>145</v>
      </c>
      <c r="H9" s="20">
        <v>675650</v>
      </c>
      <c r="K9" s="20"/>
    </row>
    <row r="10" spans="1:11" x14ac:dyDescent="0.4">
      <c r="E10" s="11" t="s">
        <v>609</v>
      </c>
      <c r="F10" t="s">
        <v>286</v>
      </c>
      <c r="H10" s="20">
        <v>-195332</v>
      </c>
    </row>
    <row r="12" spans="1:11" x14ac:dyDescent="0.4">
      <c r="F12" s="8"/>
      <c r="G12" s="8"/>
      <c r="H12" s="23"/>
    </row>
    <row r="18" spans="5:8" x14ac:dyDescent="0.4">
      <c r="E18" s="28" t="s">
        <v>250</v>
      </c>
      <c r="F18" s="29"/>
      <c r="G18" s="28"/>
      <c r="H18" s="30">
        <f>SUM(H9:H17)</f>
        <v>480318</v>
      </c>
    </row>
    <row r="20" spans="5:8" x14ac:dyDescent="0.4">
      <c r="E20" s="31" t="s">
        <v>135</v>
      </c>
      <c r="F20" s="31"/>
      <c r="G20" s="31"/>
      <c r="H20" s="32">
        <f>I4-H18</f>
        <v>0</v>
      </c>
    </row>
  </sheetData>
  <hyperlinks>
    <hyperlink ref="K1" location="'Project Status'!A1" display="'Project Status'!A1" xr:uid="{BB5CF889-9368-4270-A415-EC3CDD22E712}"/>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31536-9786-4DDC-9770-8B1EBD7CAD59}">
  <sheetPr>
    <tabColor rgb="FFFF66CC"/>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5.3046875" style="39" bestFit="1" customWidth="1"/>
    <col min="3" max="3" width="6.84375" style="39" bestFit="1" customWidth="1"/>
    <col min="4" max="4" width="39.3046875" style="39" bestFit="1" customWidth="1"/>
    <col min="5" max="5" width="29" style="39" bestFit="1" customWidth="1"/>
    <col min="6" max="6" width="17.3046875" style="39" bestFit="1" customWidth="1"/>
    <col min="7" max="7" width="12.15234375" style="39" bestFit="1" customWidth="1"/>
    <col min="8" max="8" width="16.53515625" style="39" bestFit="1" customWidth="1"/>
    <col min="9" max="9" width="13.6914062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20885</v>
      </c>
      <c r="B4" s="46">
        <f>VLOOKUP(A4,'Project Status'!C:D,2,FALSE)</f>
        <v>8676</v>
      </c>
      <c r="C4" s="46">
        <f>VLOOKUP(A4,'Project Status'!C:E,3,FALSE)</f>
        <v>0</v>
      </c>
      <c r="D4" s="46" t="str">
        <f>VLOOKUP(A4,'Project Status'!C:F,4,FALSE)</f>
        <v>12000 - Arts and Science: Office of the Dean</v>
      </c>
      <c r="E4" s="46" t="str">
        <f>VLOOKUP(A4,'Project Status'!C:I,7,FALSE)</f>
        <v>NMR - Replace Air Compressors</v>
      </c>
      <c r="F4" s="46" t="str">
        <f>VLOOKUP(A4,'Project Status'!C:K,9,FALSE)</f>
        <v>Financial Closeout</v>
      </c>
      <c r="G4" s="46" t="str">
        <f>VLOOKUP(A4,'Project Status'!C:L,10,FALSE)</f>
        <v>Sean Rewers</v>
      </c>
      <c r="H4" s="47">
        <f>VLOOKUP(A4,'Project Status'!C:N,12,FALSE)</f>
        <v>143053.4</v>
      </c>
      <c r="I4" s="48">
        <f>VLOOKUP(A4,'Project Status'!C:Q,15,FALSE)</f>
        <v>123743.89</v>
      </c>
    </row>
    <row r="8" spans="1:11" x14ac:dyDescent="0.4">
      <c r="E8" s="52" t="s">
        <v>123</v>
      </c>
    </row>
    <row r="9" spans="1:11" x14ac:dyDescent="0.4">
      <c r="E9" s="53" t="s">
        <v>347</v>
      </c>
      <c r="F9" s="39" t="s">
        <v>203</v>
      </c>
      <c r="H9" s="49">
        <v>98341</v>
      </c>
    </row>
    <row r="10" spans="1:11" x14ac:dyDescent="0.4">
      <c r="E10" s="53" t="s">
        <v>381</v>
      </c>
      <c r="F10" s="39" t="s">
        <v>145</v>
      </c>
      <c r="H10" s="49">
        <v>14712.4</v>
      </c>
    </row>
    <row r="11" spans="1:11" x14ac:dyDescent="0.4">
      <c r="E11" s="53" t="s">
        <v>412</v>
      </c>
      <c r="F11" s="39" t="s">
        <v>303</v>
      </c>
      <c r="H11" s="49">
        <v>30000</v>
      </c>
    </row>
    <row r="12" spans="1:11" x14ac:dyDescent="0.4">
      <c r="E12" s="53" t="s">
        <v>668</v>
      </c>
      <c r="F12" s="39" t="s">
        <v>286</v>
      </c>
      <c r="G12" s="56"/>
      <c r="H12" s="49">
        <v>-19309.509999999998</v>
      </c>
    </row>
    <row r="18" spans="5:8" x14ac:dyDescent="0.4">
      <c r="E18" s="64" t="s">
        <v>250</v>
      </c>
      <c r="F18" s="65"/>
      <c r="G18" s="64"/>
      <c r="H18" s="66">
        <f>SUM(H9:H17)</f>
        <v>123743.89</v>
      </c>
    </row>
    <row r="20" spans="5:8" x14ac:dyDescent="0.4">
      <c r="E20" s="67" t="s">
        <v>135</v>
      </c>
      <c r="F20" s="67"/>
      <c r="G20" s="67"/>
      <c r="H20" s="68">
        <f>I4-H18</f>
        <v>0</v>
      </c>
    </row>
  </sheetData>
  <phoneticPr fontId="5" type="noConversion"/>
  <hyperlinks>
    <hyperlink ref="K1" location="'Project Status'!A1" display="'Project Status'!A1" xr:uid="{BBB58F13-EE47-4C84-86AC-49A8F38EFDC1}"/>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A448-F662-4D3F-98EA-55FC35F50E0A}">
  <sheetPr>
    <tabColor theme="1"/>
  </sheetPr>
  <dimension ref="A1:K20"/>
  <sheetViews>
    <sheetView zoomScale="90" zoomScaleNormal="90" workbookViewId="0">
      <selection activeCell="K1" sqref="K1"/>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28.3046875" bestFit="1" customWidth="1"/>
    <col min="6" max="6" width="30.53515625" bestFit="1" customWidth="1"/>
    <col min="7" max="7" width="10.3046875" bestFit="1" customWidth="1"/>
    <col min="8" max="9" width="16.53515625" customWidth="1"/>
    <col min="11" max="11" width="15.6914062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20911</v>
      </c>
      <c r="B4" s="9">
        <f>VLOOKUP(A4,'Project Status'!C:D,2,FALSE)</f>
        <v>8819</v>
      </c>
      <c r="C4" s="9">
        <f>VLOOKUP(A4,'Project Status'!C:E,3,FALSE)</f>
        <v>0</v>
      </c>
      <c r="D4" s="9" t="str">
        <f>VLOOKUP(A4,'Project Status'!C:F,4,FALSE)</f>
        <v>12000 - Arts and Science: Office of the Dean</v>
      </c>
      <c r="E4" s="9" t="str">
        <f>VLOOKUP(A4,'Project Status'!C:I,7,FALSE)</f>
        <v>Buttrick Hall - Elevator Upgrades</v>
      </c>
      <c r="F4" s="9" t="str">
        <f>VLOOKUP(A4,'Project Status'!C:K,9,FALSE)</f>
        <v>Finalized</v>
      </c>
      <c r="G4" s="9" t="str">
        <f>VLOOKUP(A4,'Project Status'!C:L,10,FALSE)</f>
        <v>Ben Bedock</v>
      </c>
      <c r="H4" s="25">
        <f>VLOOKUP(A4,'Project Status'!C:N,12,FALSE)</f>
        <v>61045</v>
      </c>
      <c r="I4" s="35">
        <f>VLOOKUP(A4,'Project Status'!C:Q,15,FALSE)</f>
        <v>54613</v>
      </c>
    </row>
    <row r="8" spans="1:11" x14ac:dyDescent="0.4">
      <c r="E8" s="19" t="s">
        <v>123</v>
      </c>
    </row>
    <row r="9" spans="1:11" x14ac:dyDescent="0.4">
      <c r="E9" s="11" t="s">
        <v>347</v>
      </c>
      <c r="F9" t="s">
        <v>138</v>
      </c>
      <c r="H9" s="20">
        <v>4100</v>
      </c>
    </row>
    <row r="10" spans="1:11" x14ac:dyDescent="0.4">
      <c r="E10" s="11" t="s">
        <v>362</v>
      </c>
      <c r="F10" t="s">
        <v>203</v>
      </c>
      <c r="H10" s="20">
        <v>56945</v>
      </c>
    </row>
    <row r="11" spans="1:11" x14ac:dyDescent="0.4">
      <c r="E11" s="11" t="s">
        <v>609</v>
      </c>
      <c r="F11" t="s">
        <v>608</v>
      </c>
      <c r="H11" s="20">
        <v>-6432</v>
      </c>
    </row>
    <row r="12" spans="1:11" x14ac:dyDescent="0.4">
      <c r="F12" s="8"/>
      <c r="G12" s="8"/>
      <c r="H12" s="23"/>
    </row>
    <row r="18" spans="5:8" x14ac:dyDescent="0.4">
      <c r="E18" s="28" t="s">
        <v>250</v>
      </c>
      <c r="F18" s="29"/>
      <c r="G18" s="28"/>
      <c r="H18" s="30">
        <f>SUM(H9:H17)</f>
        <v>54613</v>
      </c>
    </row>
    <row r="20" spans="5:8" x14ac:dyDescent="0.4">
      <c r="E20" s="31" t="s">
        <v>135</v>
      </c>
      <c r="F20" s="31"/>
      <c r="G20" s="31"/>
      <c r="H20" s="32">
        <f>I4-H18</f>
        <v>0</v>
      </c>
    </row>
  </sheetData>
  <hyperlinks>
    <hyperlink ref="K1" location="'Project Status'!A1" display="'Project Status'!A1" xr:uid="{35E76966-DD8F-4772-BA40-8D915A539AE1}"/>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61DB6-B120-4352-AFB9-C529CE0F00D7}">
  <sheetPr>
    <tabColor rgb="FFFFFF93"/>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5.3046875" style="39" bestFit="1" customWidth="1"/>
    <col min="3" max="3" width="6.84375" style="39" bestFit="1" customWidth="1"/>
    <col min="4" max="4" width="39.3046875" style="39" bestFit="1" customWidth="1"/>
    <col min="5" max="5" width="29.15234375" style="39" bestFit="1" customWidth="1"/>
    <col min="6" max="6" width="31.3046875" style="39" bestFit="1" customWidth="1"/>
    <col min="7" max="7" width="11.3046875" style="39" bestFit="1" customWidth="1"/>
    <col min="8" max="8" width="16.53515625" style="39" bestFit="1" customWidth="1"/>
    <col min="9" max="9" width="11.6914062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20912</v>
      </c>
      <c r="B4" s="46">
        <f>VLOOKUP(A4,'Project Status'!C:D,2,FALSE)</f>
        <v>8822</v>
      </c>
      <c r="C4" s="46">
        <f>VLOOKUP(A4,'Project Status'!C:E,3,FALSE)</f>
        <v>0</v>
      </c>
      <c r="D4" s="46" t="str">
        <f>VLOOKUP(A4,'Project Status'!C:F,4,FALSE)</f>
        <v>12000 - Arts and Science: Office of the Dean</v>
      </c>
      <c r="E4" s="46" t="str">
        <f>VLOOKUP(A4,'Project Status'!C:I,7,FALSE)</f>
        <v>Benson Hall - Elevator Upgrades</v>
      </c>
      <c r="F4" s="46" t="str">
        <f>VLOOKUP(A4,'Project Status'!C:K,9,FALSE)</f>
        <v>Financial Closeout</v>
      </c>
      <c r="G4" s="46" t="str">
        <f>VLOOKUP(A4,'Project Status'!C:L,10,FALSE)</f>
        <v>Ben Bedock</v>
      </c>
      <c r="H4" s="47">
        <f>VLOOKUP(A4,'Project Status'!C:N,12,FALSE)</f>
        <v>59798</v>
      </c>
      <c r="I4" s="48">
        <f>VLOOKUP(A4,'Project Status'!C:Q,15,FALSE)</f>
        <v>53366</v>
      </c>
    </row>
    <row r="8" spans="1:11" x14ac:dyDescent="0.4">
      <c r="E8" s="52" t="s">
        <v>123</v>
      </c>
    </row>
    <row r="9" spans="1:11" x14ac:dyDescent="0.4">
      <c r="E9" s="53" t="s">
        <v>347</v>
      </c>
      <c r="F9" s="39" t="s">
        <v>138</v>
      </c>
      <c r="H9" s="49">
        <v>4100</v>
      </c>
    </row>
    <row r="10" spans="1:11" x14ac:dyDescent="0.4">
      <c r="E10" s="53" t="s">
        <v>362</v>
      </c>
      <c r="F10" s="39" t="s">
        <v>203</v>
      </c>
      <c r="H10" s="49">
        <v>55698</v>
      </c>
    </row>
    <row r="12" spans="1:11" x14ac:dyDescent="0.4">
      <c r="F12" s="56"/>
      <c r="G12" s="56"/>
      <c r="H12" s="69"/>
    </row>
    <row r="18" spans="5:8" x14ac:dyDescent="0.4">
      <c r="E18" s="64" t="s">
        <v>250</v>
      </c>
      <c r="F18" s="65"/>
      <c r="G18" s="64"/>
      <c r="H18" s="66">
        <f>SUM(H9:H17)</f>
        <v>59798</v>
      </c>
    </row>
    <row r="20" spans="5:8" x14ac:dyDescent="0.4">
      <c r="E20" s="67" t="s">
        <v>135</v>
      </c>
      <c r="F20" s="67"/>
      <c r="G20" s="67"/>
      <c r="H20" s="68">
        <f>H4-H18</f>
        <v>0</v>
      </c>
    </row>
  </sheetData>
  <hyperlinks>
    <hyperlink ref="K1" location="'Project Status'!A1" display="'Project Status'!A1" xr:uid="{76797D86-7F8C-45BA-941C-B03DD87AC22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F1364-CE3C-4338-A7AA-A05D4160CACA}">
  <sheetPr>
    <tabColor theme="8"/>
  </sheetPr>
  <dimension ref="A1:V18"/>
  <sheetViews>
    <sheetView zoomScaleNormal="100" workbookViewId="0">
      <pane xSplit="2" ySplit="4" topLeftCell="C5" activePane="bottomRight" state="frozen"/>
      <selection activeCell="D92" sqref="D92"/>
      <selection pane="topRight" activeCell="D92" sqref="D92"/>
      <selection pane="bottomLeft" activeCell="D92" sqref="D92"/>
      <selection pane="bottomRight" activeCell="A19" sqref="A19"/>
    </sheetView>
  </sheetViews>
  <sheetFormatPr defaultColWidth="9.3046875" defaultRowHeight="14.6" x14ac:dyDescent="0.4"/>
  <cols>
    <col min="1" max="1" width="26.15234375" style="39" customWidth="1"/>
    <col min="2" max="2" width="12.53515625" style="39" hidden="1" customWidth="1"/>
    <col min="3" max="22" width="13.84375" style="39" customWidth="1"/>
    <col min="23" max="16384" width="9.3046875" style="39"/>
  </cols>
  <sheetData>
    <row r="1" spans="1:22" s="241" customFormat="1" x14ac:dyDescent="0.4">
      <c r="A1" s="242" t="s">
        <v>186</v>
      </c>
      <c r="B1" s="39"/>
      <c r="D1" s="39"/>
      <c r="E1" s="39"/>
      <c r="F1" s="39"/>
      <c r="G1" s="39"/>
      <c r="H1" s="39"/>
      <c r="I1" s="39"/>
      <c r="J1" s="39"/>
      <c r="K1" s="39"/>
      <c r="L1" s="39"/>
      <c r="M1" s="39"/>
      <c r="N1" s="39"/>
      <c r="O1" s="39"/>
      <c r="P1" s="39"/>
      <c r="Q1" s="39"/>
      <c r="R1" s="39"/>
      <c r="S1" s="39"/>
      <c r="T1" s="39"/>
      <c r="U1" s="39"/>
      <c r="V1" s="39"/>
    </row>
    <row r="2" spans="1:22" s="241" customFormat="1" x14ac:dyDescent="0.4">
      <c r="A2" s="170"/>
      <c r="B2" s="60"/>
      <c r="C2" s="39"/>
      <c r="D2" s="39"/>
      <c r="E2" s="39"/>
      <c r="F2" s="39"/>
      <c r="G2" s="39"/>
      <c r="H2" s="39"/>
      <c r="I2" s="39"/>
      <c r="J2" s="39"/>
      <c r="K2" s="39"/>
      <c r="L2" s="39"/>
      <c r="M2" s="39"/>
      <c r="N2" s="39"/>
      <c r="O2" s="39"/>
      <c r="P2" s="39"/>
      <c r="Q2" s="39"/>
      <c r="R2" s="39"/>
      <c r="S2" s="39"/>
      <c r="T2" s="39"/>
      <c r="U2" s="39"/>
      <c r="V2" s="39"/>
    </row>
    <row r="3" spans="1:22" ht="15" thickBot="1" x14ac:dyDescent="0.45"/>
    <row r="4" spans="1:22" ht="43.95" customHeight="1" x14ac:dyDescent="0.4">
      <c r="A4" s="243" t="s">
        <v>86</v>
      </c>
      <c r="B4" s="243" t="s">
        <v>99</v>
      </c>
      <c r="C4" s="244" t="s">
        <v>232</v>
      </c>
      <c r="D4" s="245" t="s">
        <v>291</v>
      </c>
      <c r="E4" s="246" t="s">
        <v>121</v>
      </c>
      <c r="F4" s="245" t="s">
        <v>290</v>
      </c>
      <c r="G4" s="247" t="s">
        <v>230</v>
      </c>
      <c r="H4" s="244" t="s">
        <v>233</v>
      </c>
      <c r="I4" s="245" t="s">
        <v>386</v>
      </c>
      <c r="J4" s="246" t="s">
        <v>121</v>
      </c>
      <c r="K4" s="245" t="s">
        <v>387</v>
      </c>
      <c r="L4" s="247" t="s">
        <v>231</v>
      </c>
      <c r="M4" s="244" t="s">
        <v>388</v>
      </c>
      <c r="N4" s="245" t="s">
        <v>571</v>
      </c>
      <c r="O4" s="246" t="s">
        <v>121</v>
      </c>
      <c r="P4" s="245" t="s">
        <v>390</v>
      </c>
      <c r="Q4" s="247" t="s">
        <v>391</v>
      </c>
      <c r="R4" s="244" t="s">
        <v>572</v>
      </c>
      <c r="S4" s="245" t="s">
        <v>573</v>
      </c>
      <c r="T4" s="246" t="s">
        <v>121</v>
      </c>
      <c r="U4" s="245" t="s">
        <v>574</v>
      </c>
      <c r="V4" s="247" t="s">
        <v>575</v>
      </c>
    </row>
    <row r="5" spans="1:22" x14ac:dyDescent="0.4">
      <c r="A5" s="39" t="s">
        <v>188</v>
      </c>
      <c r="B5" s="88">
        <f>Contributions!B5</f>
        <v>1075461.7320675128</v>
      </c>
      <c r="C5" s="248">
        <f>Contributions!C5/1000000</f>
        <v>3.6638259999999998</v>
      </c>
      <c r="D5" s="249">
        <f>SUMIF('Project Status'!G:G,'Shared Building Allocation'!A5,'Project Status'!S:S)/1000000</f>
        <v>1.7179739999999999</v>
      </c>
      <c r="E5" s="250">
        <f>D15/1000000</f>
        <v>0.55831562499999998</v>
      </c>
      <c r="F5" s="249">
        <f>D5+E5</f>
        <v>2.276289625</v>
      </c>
      <c r="G5" s="251">
        <f>C5-F5</f>
        <v>1.3875363749999998</v>
      </c>
      <c r="H5" s="248">
        <f>Contributions!G5/1000000</f>
        <v>4.2048135899999997</v>
      </c>
      <c r="I5" s="249">
        <f>SUMIF('Project Status'!G:G,'Shared Building Allocation'!A5,'Project Status'!T:T)/1000000</f>
        <v>2.6287729900000003</v>
      </c>
      <c r="J5" s="250">
        <f>I15/1000000</f>
        <v>-9.4282859999999975E-3</v>
      </c>
      <c r="K5" s="249">
        <f t="shared" ref="K5:K6" si="0">I5+J5</f>
        <v>2.6193447040000004</v>
      </c>
      <c r="L5" s="251">
        <f>H5-K5</f>
        <v>1.5854688859999992</v>
      </c>
      <c r="M5" s="248">
        <f>Contributions!K5/1000000</f>
        <v>4.8792291409590094</v>
      </c>
      <c r="N5" s="249">
        <f>SUMIF('Project Status'!G:G,'Shared Building Allocation'!A5,'Project Status'!U:U)/1000000</f>
        <v>1.5181443999999999</v>
      </c>
      <c r="O5" s="250">
        <f>N15/1000000</f>
        <v>0.59152695</v>
      </c>
      <c r="P5" s="249">
        <f>N5+O5</f>
        <v>2.1096713500000002</v>
      </c>
      <c r="Q5" s="251">
        <f t="shared" ref="Q5:Q6" si="1">M5-P5</f>
        <v>2.7695577909590092</v>
      </c>
      <c r="R5" s="248">
        <f>Contributions!O5/1000000</f>
        <v>5.3050797650226125</v>
      </c>
      <c r="S5" s="249">
        <f>SUMIF('Project Status'!G:G,'Shared Building Allocation'!A5,'Project Status'!V:V)/1000000</f>
        <v>-0.16903529</v>
      </c>
      <c r="T5" s="250">
        <f>S15/1000000</f>
        <v>0.16678200000000001</v>
      </c>
      <c r="U5" s="249">
        <f>S5+T5</f>
        <v>-2.2532899999999911E-3</v>
      </c>
      <c r="V5" s="251">
        <f t="shared" ref="V5:V6" si="2">R5-U5</f>
        <v>5.3073330550226121</v>
      </c>
    </row>
    <row r="6" spans="1:22" x14ac:dyDescent="0.4">
      <c r="A6" s="39" t="s">
        <v>665</v>
      </c>
      <c r="B6" s="88">
        <f>Contributions!B11</f>
        <v>280022.39987629937</v>
      </c>
      <c r="C6" s="248">
        <f>Contributions!C11/1000000</f>
        <v>0.95396499999999995</v>
      </c>
      <c r="D6" s="249">
        <f>SUMIF('Project Status'!G:G,'Shared Building Allocation'!A6,'Project Status'!S:S)/1000000</f>
        <v>1.5951875</v>
      </c>
      <c r="E6" s="250">
        <f>-D15/1000000</f>
        <v>-0.55831562499999998</v>
      </c>
      <c r="F6" s="249">
        <f t="shared" ref="F6" si="3">D6+E6</f>
        <v>1.0368718750000001</v>
      </c>
      <c r="G6" s="251">
        <f t="shared" ref="G6" si="4">C6-F6</f>
        <v>-8.2906875000000158E-2</v>
      </c>
      <c r="H6" s="248">
        <f>Contributions!G11/1000000</f>
        <v>1.0547257800000001</v>
      </c>
      <c r="I6" s="249">
        <f>SUMIF('Project Status'!G:G,'Shared Building Allocation'!A6,'Project Status'!T:T)/1000000</f>
        <v>-2.693796E-2</v>
      </c>
      <c r="J6" s="250">
        <f>-I15/1000000</f>
        <v>9.4282859999999975E-3</v>
      </c>
      <c r="K6" s="249">
        <f t="shared" si="0"/>
        <v>-1.7509674000000003E-2</v>
      </c>
      <c r="L6" s="251">
        <f t="shared" ref="L6" si="5">H6-K6</f>
        <v>1.0722354540000001</v>
      </c>
      <c r="M6" s="248">
        <f>Contributions!K11/1000000</f>
        <v>1.4329847751475155</v>
      </c>
      <c r="N6" s="249">
        <f>SUMIF('Project Status'!G:G,'Shared Building Allocation'!A6,'Project Status'!U:U)/1000000</f>
        <v>1.607952</v>
      </c>
      <c r="O6" s="250">
        <f>-N15/1000000</f>
        <v>-0.59152695</v>
      </c>
      <c r="P6" s="249">
        <f t="shared" ref="P6" si="6">N6+O6</f>
        <v>1.0164250500000001</v>
      </c>
      <c r="Q6" s="251">
        <f t="shared" si="1"/>
        <v>0.41655972514751549</v>
      </c>
      <c r="R6" s="248">
        <f>Contributions!O11/1000000</f>
        <v>1.516552328303542</v>
      </c>
      <c r="S6" s="249">
        <f>SUMIF('Project Status'!G:G,'Shared Building Allocation'!A6,'Project Status'!V:V)/1000000</f>
        <v>0.47652</v>
      </c>
      <c r="T6" s="250">
        <f>-S15/1000000</f>
        <v>-0.16678200000000001</v>
      </c>
      <c r="U6" s="249">
        <f t="shared" ref="U6" si="7">S6+T6</f>
        <v>0.30973799999999996</v>
      </c>
      <c r="V6" s="251">
        <f t="shared" si="2"/>
        <v>1.2068143283035422</v>
      </c>
    </row>
    <row r="7" spans="1:22" ht="15" thickBot="1" x14ac:dyDescent="0.45">
      <c r="A7" s="252"/>
      <c r="B7" s="252">
        <v>2748810.0535201132</v>
      </c>
      <c r="C7" s="253">
        <f>SUM(C5:C6)</f>
        <v>4.6177909999999995</v>
      </c>
      <c r="D7" s="254">
        <f>SUM(D5:D6)</f>
        <v>3.3131614999999996</v>
      </c>
      <c r="E7" s="255"/>
      <c r="F7" s="254">
        <f>SUM(F5:F6)</f>
        <v>3.3131615000000001</v>
      </c>
      <c r="G7" s="256">
        <f>SUM(G5:G6)</f>
        <v>1.3046294999999997</v>
      </c>
      <c r="H7" s="253">
        <f>SUM(H5:H6)</f>
        <v>5.2595393699999997</v>
      </c>
      <c r="I7" s="254">
        <f>SUM(I5:I6)</f>
        <v>2.6018350300000002</v>
      </c>
      <c r="J7" s="255"/>
      <c r="K7" s="254">
        <f>SUM(K5:K6)</f>
        <v>2.6018350300000006</v>
      </c>
      <c r="L7" s="256">
        <f>SUM(L5:L6)</f>
        <v>2.6577043399999996</v>
      </c>
      <c r="M7" s="253">
        <f>SUM(M5:M6)</f>
        <v>6.3122139161065247</v>
      </c>
      <c r="N7" s="254">
        <f>SUM(N5:N6)</f>
        <v>3.1260963999999998</v>
      </c>
      <c r="O7" s="255"/>
      <c r="P7" s="254">
        <f>SUM(P5:P6)</f>
        <v>3.1260964000000002</v>
      </c>
      <c r="Q7" s="256">
        <f>SUM(Q5:Q6)</f>
        <v>3.1861175161065249</v>
      </c>
      <c r="R7" s="253">
        <f>SUM(R5:R6)</f>
        <v>6.8216320933261549</v>
      </c>
      <c r="S7" s="254">
        <f>SUM(S5:S6)</f>
        <v>0.30748470999999999</v>
      </c>
      <c r="T7" s="255"/>
      <c r="U7" s="254">
        <f>SUM(U5:U6)</f>
        <v>0.30748470999999999</v>
      </c>
      <c r="V7" s="256">
        <f>SUM(V5:V6)</f>
        <v>6.5141473833261543</v>
      </c>
    </row>
    <row r="9" spans="1:22" x14ac:dyDescent="0.4">
      <c r="I9" s="257"/>
      <c r="N9" s="257"/>
      <c r="S9" s="257"/>
    </row>
    <row r="10" spans="1:22" x14ac:dyDescent="0.4">
      <c r="I10" s="257"/>
      <c r="N10" s="257"/>
      <c r="S10" s="257"/>
    </row>
    <row r="11" spans="1:22" x14ac:dyDescent="0.4">
      <c r="A11" s="170" t="s">
        <v>117</v>
      </c>
    </row>
    <row r="12" spans="1:22" s="261" customFormat="1" x14ac:dyDescent="0.4">
      <c r="D12" s="262" t="s">
        <v>288</v>
      </c>
      <c r="I12" s="262" t="s">
        <v>289</v>
      </c>
      <c r="N12" s="262" t="s">
        <v>389</v>
      </c>
      <c r="S12" s="262" t="s">
        <v>579</v>
      </c>
    </row>
    <row r="13" spans="1:22" s="170" customFormat="1" x14ac:dyDescent="0.4">
      <c r="A13" s="258" t="s">
        <v>146</v>
      </c>
      <c r="D13" s="259">
        <f>SUMIF('Project Status'!H:H,'Shared Building Allocation'!A13,'Project Status'!S:S)</f>
        <v>1595187.5</v>
      </c>
      <c r="I13" s="259">
        <f>SUMIF('Project Status'!H:H,'Shared Building Allocation'!A13,'Project Status'!T:T)</f>
        <v>-26937.96</v>
      </c>
      <c r="J13" s="259"/>
      <c r="N13" s="259">
        <f>SUMIF('Project Status'!H:H,'Shared Building Allocation'!A13,'Project Status'!U:U)</f>
        <v>1690077</v>
      </c>
      <c r="S13" s="259">
        <f>SUMIF('Project Status'!$H:$H,'Shared Building Allocation'!$A$13,'Project Status'!V:V)</f>
        <v>476520</v>
      </c>
    </row>
    <row r="14" spans="1:22" s="170" customFormat="1" ht="6.45" customHeight="1" x14ac:dyDescent="0.4">
      <c r="D14" s="259"/>
      <c r="I14" s="259"/>
      <c r="N14" s="259"/>
      <c r="S14" s="259"/>
    </row>
    <row r="15" spans="1:22" s="170" customFormat="1" x14ac:dyDescent="0.4">
      <c r="A15" s="74" t="s">
        <v>119</v>
      </c>
      <c r="D15" s="259">
        <f>D13*0.35</f>
        <v>558315.625</v>
      </c>
      <c r="I15" s="259">
        <f>I13*0.35</f>
        <v>-9428.2859999999982</v>
      </c>
      <c r="N15" s="259">
        <f>N13*0.35</f>
        <v>591526.94999999995</v>
      </c>
      <c r="S15" s="259">
        <f>S13*0.35</f>
        <v>166782</v>
      </c>
    </row>
    <row r="16" spans="1:22" s="170" customFormat="1" x14ac:dyDescent="0.4">
      <c r="A16" s="74" t="s">
        <v>120</v>
      </c>
      <c r="D16" s="259">
        <f>D13*0.65</f>
        <v>1036871.875</v>
      </c>
      <c r="I16" s="259">
        <f>I13*0.65</f>
        <v>-17509.673999999999</v>
      </c>
      <c r="N16" s="259">
        <f>N13*0.65</f>
        <v>1098550.05</v>
      </c>
      <c r="S16" s="259">
        <f>S13*0.65</f>
        <v>309738</v>
      </c>
    </row>
    <row r="17" spans="4:19" s="170" customFormat="1" x14ac:dyDescent="0.4">
      <c r="D17" s="260">
        <f>SUM(D15:D16)</f>
        <v>1595187.5</v>
      </c>
      <c r="I17" s="260">
        <f>SUM(I15:I16)</f>
        <v>-26937.96</v>
      </c>
      <c r="N17" s="260">
        <f>SUM(N15:N16)</f>
        <v>1690077</v>
      </c>
      <c r="S17" s="260">
        <f>SUM(S15:S16)</f>
        <v>476520</v>
      </c>
    </row>
    <row r="18" spans="4:19" s="170" customFormat="1" x14ac:dyDescent="0.4"/>
  </sheetData>
  <pageMargins left="0.7" right="0.7" top="0.75" bottom="0.75" header="0.3" footer="0.3"/>
  <pageSetup orientation="landscape"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23B0B-4EBF-476B-BB3C-26DC893C8FE7}">
  <sheetPr>
    <tabColor rgb="FFFFFF93"/>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5.3046875" style="39" bestFit="1" customWidth="1"/>
    <col min="3" max="3" width="6.84375" style="39" bestFit="1" customWidth="1"/>
    <col min="4" max="4" width="39.3046875" style="39" bestFit="1" customWidth="1"/>
    <col min="5" max="5" width="28.3828125" style="39" bestFit="1" customWidth="1"/>
    <col min="6" max="6" width="17.3046875" style="39" bestFit="1" customWidth="1"/>
    <col min="7" max="7" width="11.3046875" style="39" bestFit="1" customWidth="1"/>
    <col min="8" max="8" width="16.53515625" style="39" bestFit="1" customWidth="1"/>
    <col min="9" max="9" width="11.6914062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20913</v>
      </c>
      <c r="B4" s="46">
        <f>VLOOKUP(A4,'Project Status'!C:D,2,FALSE)</f>
        <v>8818</v>
      </c>
      <c r="C4" s="46">
        <f>VLOOKUP(A4,'Project Status'!C:E,3,FALSE)</f>
        <v>0</v>
      </c>
      <c r="D4" s="46" t="str">
        <f>VLOOKUP(A4,'Project Status'!C:F,4,FALSE)</f>
        <v>12000 - Arts and Science: Office of the Dean</v>
      </c>
      <c r="E4" s="46" t="str">
        <f>VLOOKUP(A4,'Project Status'!C:I,7,FALSE)</f>
        <v>Wilson Hall - Elevator Upgrades</v>
      </c>
      <c r="F4" s="46" t="str">
        <f>VLOOKUP(A4,'Project Status'!C:K,9,FALSE)</f>
        <v>Financial Closeout</v>
      </c>
      <c r="G4" s="46" t="str">
        <f>VLOOKUP(A4,'Project Status'!C:L,10,FALSE)</f>
        <v>Ben Bedock</v>
      </c>
      <c r="H4" s="47">
        <f>VLOOKUP(A4,'Project Status'!C:N,12,FALSE)</f>
        <v>96612</v>
      </c>
      <c r="I4" s="48">
        <f>VLOOKUP(A4,'Project Status'!C:Q,15,FALSE)</f>
        <v>86900</v>
      </c>
    </row>
    <row r="8" spans="1:11" x14ac:dyDescent="0.4">
      <c r="E8" s="52" t="s">
        <v>123</v>
      </c>
    </row>
    <row r="9" spans="1:11" x14ac:dyDescent="0.4">
      <c r="E9" s="53" t="s">
        <v>347</v>
      </c>
      <c r="F9" s="39" t="s">
        <v>138</v>
      </c>
      <c r="H9" s="49">
        <v>4100</v>
      </c>
    </row>
    <row r="10" spans="1:11" x14ac:dyDescent="0.4">
      <c r="E10" s="53" t="s">
        <v>362</v>
      </c>
      <c r="F10" s="39" t="s">
        <v>203</v>
      </c>
      <c r="H10" s="49">
        <v>92512</v>
      </c>
    </row>
    <row r="12" spans="1:11" x14ac:dyDescent="0.4">
      <c r="F12" s="56"/>
      <c r="G12" s="56"/>
      <c r="H12" s="69"/>
    </row>
    <row r="18" spans="5:8" x14ac:dyDescent="0.4">
      <c r="E18" s="64" t="s">
        <v>250</v>
      </c>
      <c r="F18" s="65"/>
      <c r="G18" s="64"/>
      <c r="H18" s="66">
        <f>SUM(H9:H17)</f>
        <v>96612</v>
      </c>
    </row>
    <row r="20" spans="5:8" x14ac:dyDescent="0.4">
      <c r="E20" s="67" t="s">
        <v>135</v>
      </c>
      <c r="F20" s="67"/>
      <c r="G20" s="67"/>
      <c r="H20" s="68">
        <f>H4-H18</f>
        <v>0</v>
      </c>
    </row>
  </sheetData>
  <hyperlinks>
    <hyperlink ref="K1" location="'Project Status'!A1" display="'Project Status'!A1" xr:uid="{6DCB42CD-4205-4A73-82FB-AB2261487C46}"/>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862B9-60E5-4148-B400-47206DEF0E9B}">
  <sheetPr>
    <tabColor rgb="FFFFFF93"/>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5.3046875" style="39" bestFit="1" customWidth="1"/>
    <col min="3" max="3" width="10.69140625" style="39" bestFit="1" customWidth="1"/>
    <col min="4" max="4" width="39.3046875" style="39" bestFit="1" customWidth="1"/>
    <col min="5" max="5" width="34.53515625" style="39" bestFit="1" customWidth="1"/>
    <col min="6" max="6" width="31.3046875" style="39" bestFit="1" customWidth="1"/>
    <col min="7" max="7" width="13.69140625" style="39" bestFit="1" customWidth="1"/>
    <col min="8" max="8" width="16.53515625" style="39" customWidth="1"/>
    <col min="9" max="9" width="12.8437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20922</v>
      </c>
      <c r="B4" s="46">
        <f>VLOOKUP(A4,'Project Status'!C:D,2,FALSE)</f>
        <v>8720</v>
      </c>
      <c r="C4" s="46" t="str">
        <f>VLOOKUP(A4,'Project Status'!C:E,3,FALSE)</f>
        <v>CP_400263</v>
      </c>
      <c r="D4" s="46" t="str">
        <f>VLOOKUP(A4,'Project Status'!C:F,4,FALSE)</f>
        <v>12000 - Arts and Science: Office of the Dean</v>
      </c>
      <c r="E4" s="46" t="str">
        <f>VLOOKUP(A4,'Project Status'!C:I,7,FALSE)</f>
        <v>Vaughn Home - Exterior Improvements</v>
      </c>
      <c r="F4" s="46" t="str">
        <f>VLOOKUP(A4,'Project Status'!C:K,9,FALSE)</f>
        <v>Warranty or Construction Closeout</v>
      </c>
      <c r="G4" s="46" t="str">
        <f>VLOOKUP(A4,'Project Status'!C:L,10,FALSE)</f>
        <v>Jay Surprenant</v>
      </c>
      <c r="H4" s="47">
        <f>VLOOKUP(A4,'Project Status'!C:N,12,FALSE)</f>
        <v>197150</v>
      </c>
      <c r="I4" s="48">
        <f>VLOOKUP(A4,'Project Status'!C:Q,15,FALSE)</f>
        <v>170000</v>
      </c>
    </row>
    <row r="8" spans="1:11" x14ac:dyDescent="0.4">
      <c r="E8" s="52" t="s">
        <v>123</v>
      </c>
    </row>
    <row r="9" spans="1:11" x14ac:dyDescent="0.4">
      <c r="E9" s="53" t="s">
        <v>381</v>
      </c>
      <c r="F9" s="39" t="s">
        <v>138</v>
      </c>
      <c r="H9" s="49">
        <v>197150</v>
      </c>
    </row>
    <row r="10" spans="1:11" x14ac:dyDescent="0.4">
      <c r="E10" s="53"/>
      <c r="H10" s="49"/>
    </row>
    <row r="12" spans="1:11" x14ac:dyDescent="0.4">
      <c r="F12" s="56"/>
      <c r="G12" s="56"/>
      <c r="H12" s="69"/>
    </row>
    <row r="18" spans="5:8" x14ac:dyDescent="0.4">
      <c r="E18" s="64" t="s">
        <v>250</v>
      </c>
      <c r="F18" s="65"/>
      <c r="G18" s="64"/>
      <c r="H18" s="66">
        <f>SUM(H9:H17)</f>
        <v>197150</v>
      </c>
    </row>
    <row r="20" spans="5:8" x14ac:dyDescent="0.4">
      <c r="E20" s="67" t="s">
        <v>135</v>
      </c>
      <c r="F20" s="67"/>
      <c r="G20" s="67"/>
      <c r="H20" s="68">
        <f>H4-H18</f>
        <v>0</v>
      </c>
    </row>
  </sheetData>
  <hyperlinks>
    <hyperlink ref="K1" location="'Project Status'!A1" display="'Project Status'!A1" xr:uid="{2633D06A-8DA6-4E4B-A631-B2C23526C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C2FF6-72C7-404D-B1F7-6D55E96B3A9B}">
  <sheetPr>
    <tabColor theme="1"/>
  </sheetPr>
  <dimension ref="A1:K20"/>
  <sheetViews>
    <sheetView zoomScale="90" zoomScaleNormal="90" workbookViewId="0">
      <selection activeCell="F10" sqref="F10"/>
    </sheetView>
  </sheetViews>
  <sheetFormatPr defaultRowHeight="14.6" x14ac:dyDescent="0.4"/>
  <cols>
    <col min="1" max="1" width="7.84375" bestFit="1" customWidth="1"/>
    <col min="2" max="2" width="5.53515625" bestFit="1" customWidth="1"/>
    <col min="3" max="3" width="6.3046875" bestFit="1" customWidth="1"/>
    <col min="4" max="4" width="30.3046875" bestFit="1" customWidth="1"/>
    <col min="5" max="5" width="33.3046875" bestFit="1" customWidth="1"/>
    <col min="6" max="6" width="16.53515625" bestFit="1" customWidth="1"/>
    <col min="7" max="7" width="10.3046875" bestFit="1" customWidth="1"/>
    <col min="8" max="9" width="16.53515625" customWidth="1"/>
    <col min="11" max="11" width="15.6914062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20924</v>
      </c>
      <c r="B4" s="9">
        <f>VLOOKUP(A4,'Project Status'!C:D,2,FALSE)</f>
        <v>8737</v>
      </c>
      <c r="C4" s="9">
        <f>VLOOKUP(A4,'Project Status'!C:E,3,FALSE)</f>
        <v>0</v>
      </c>
      <c r="D4" s="9" t="str">
        <f>VLOOKUP(A4,'Project Status'!C:F,4,FALSE)</f>
        <v>19000 - Nursing: Office of the Dean</v>
      </c>
      <c r="E4" s="9" t="str">
        <f>VLOOKUP(A4,'Project Status'!C:I,7,FALSE)</f>
        <v>Frist Hall - Stairwell Roof Replacement</v>
      </c>
      <c r="F4" s="9" t="str">
        <f>VLOOKUP(A4,'Project Status'!C:K,9,FALSE)</f>
        <v>Finalized</v>
      </c>
      <c r="G4" s="9" t="str">
        <f>VLOOKUP(A4,'Project Status'!C:L,10,FALSE)</f>
        <v>Ben Bedock</v>
      </c>
      <c r="H4" s="25">
        <f>VLOOKUP(A4,'Project Status'!C:N,12,FALSE)</f>
        <v>30570</v>
      </c>
      <c r="I4" s="35">
        <f>VLOOKUP(A4,'Project Status'!C:O,13,FALSE)</f>
        <v>24500</v>
      </c>
    </row>
    <row r="8" spans="1:11" x14ac:dyDescent="0.4">
      <c r="E8" s="19" t="s">
        <v>123</v>
      </c>
    </row>
    <row r="9" spans="1:11" x14ac:dyDescent="0.4">
      <c r="E9" s="11" t="s">
        <v>370</v>
      </c>
      <c r="F9" t="s">
        <v>138</v>
      </c>
      <c r="H9" s="20">
        <v>30570</v>
      </c>
    </row>
    <row r="10" spans="1:11" x14ac:dyDescent="0.4">
      <c r="E10" s="11" t="s">
        <v>552</v>
      </c>
      <c r="F10" t="s">
        <v>286</v>
      </c>
      <c r="H10" s="20">
        <v>-6070</v>
      </c>
    </row>
    <row r="12" spans="1:11" x14ac:dyDescent="0.4">
      <c r="F12" s="8"/>
      <c r="G12" s="8"/>
      <c r="H12" s="23"/>
    </row>
    <row r="18" spans="5:8" x14ac:dyDescent="0.4">
      <c r="E18" s="28" t="s">
        <v>250</v>
      </c>
      <c r="F18" s="29"/>
      <c r="G18" s="28"/>
      <c r="H18" s="30">
        <f>SUM(H9:H17)</f>
        <v>24500</v>
      </c>
    </row>
    <row r="20" spans="5:8" x14ac:dyDescent="0.4">
      <c r="E20" s="31" t="s">
        <v>135</v>
      </c>
      <c r="F20" s="31"/>
      <c r="G20" s="31"/>
      <c r="H20" s="32">
        <f>I4-H18</f>
        <v>0</v>
      </c>
    </row>
  </sheetData>
  <hyperlinks>
    <hyperlink ref="K1" location="'Project Status'!A1" display="'Project Status'!A1" xr:uid="{39DDB076-FB48-46D9-88C0-09EEFE959895}"/>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02092-AB06-4ACC-A5D7-EE5F45C988F7}">
  <sheetPr>
    <tabColor theme="4"/>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5.3046875" style="39" bestFit="1" customWidth="1"/>
    <col min="3" max="3" width="10.69140625" style="39" bestFit="1" customWidth="1"/>
    <col min="4" max="4" width="28.3828125" style="39" bestFit="1" customWidth="1"/>
    <col min="5" max="5" width="55" style="39" bestFit="1" customWidth="1"/>
    <col min="6" max="6" width="12.15234375" style="39" bestFit="1" customWidth="1"/>
    <col min="7" max="7" width="13.69140625" style="39" bestFit="1" customWidth="1"/>
    <col min="8" max="8" width="16.53515625" style="39" bestFit="1" customWidth="1"/>
    <col min="9" max="9" width="12.92187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20925</v>
      </c>
      <c r="B4" s="46">
        <f>VLOOKUP(A4,'Project Status'!C:D,2,FALSE)</f>
        <v>8260</v>
      </c>
      <c r="C4" s="46" t="str">
        <f>VLOOKUP(A4,'Project Status'!C:E,3,FALSE)</f>
        <v>CP_400326</v>
      </c>
      <c r="D4" s="46" t="str">
        <f>VLOOKUP(A4,'Project Status'!C:F,4,FALSE)</f>
        <v>13000 - Blair: Office of the Dean</v>
      </c>
      <c r="E4" s="46" t="str">
        <f>VLOOKUP(A4,'Project Status'!C:I,7,FALSE)</f>
        <v>Blair School of Music - AHU 2/3 Replacement  - Phase 2 - FY26</v>
      </c>
      <c r="F4" s="46" t="str">
        <f>VLOOKUP(A4,'Project Status'!C:K,9,FALSE)</f>
        <v>Construction</v>
      </c>
      <c r="G4" s="46" t="str">
        <f>VLOOKUP(A4,'Project Status'!C:L,10,FALSE)</f>
        <v>Jay Surprenant</v>
      </c>
      <c r="H4" s="47">
        <f>VLOOKUP(A4,'Project Status'!C:N,12,FALSE)</f>
        <v>2125000</v>
      </c>
      <c r="I4" s="48">
        <f>VLOOKUP(A4,'Project Status'!C:Q,15,FALSE)</f>
        <v>287445</v>
      </c>
    </row>
    <row r="8" spans="1:11" x14ac:dyDescent="0.4">
      <c r="E8" s="52" t="s">
        <v>123</v>
      </c>
    </row>
    <row r="9" spans="1:11" x14ac:dyDescent="0.4">
      <c r="E9" s="39" t="s">
        <v>456</v>
      </c>
      <c r="F9" s="39" t="s">
        <v>138</v>
      </c>
      <c r="H9" s="49">
        <v>409000</v>
      </c>
    </row>
    <row r="10" spans="1:11" x14ac:dyDescent="0.4">
      <c r="E10" s="39" t="s">
        <v>591</v>
      </c>
      <c r="F10" s="39" t="s">
        <v>203</v>
      </c>
      <c r="H10" s="49">
        <v>1716000</v>
      </c>
    </row>
    <row r="12" spans="1:11" x14ac:dyDescent="0.4">
      <c r="F12" s="56"/>
      <c r="G12" s="56"/>
      <c r="H12" s="69"/>
    </row>
    <row r="18" spans="5:8" x14ac:dyDescent="0.4">
      <c r="E18" s="64" t="s">
        <v>250</v>
      </c>
      <c r="F18" s="65"/>
      <c r="G18" s="64"/>
      <c r="H18" s="66">
        <f>SUM(H9:H17)</f>
        <v>2125000</v>
      </c>
    </row>
    <row r="20" spans="5:8" x14ac:dyDescent="0.4">
      <c r="E20" s="67" t="s">
        <v>135</v>
      </c>
      <c r="F20" s="67"/>
      <c r="G20" s="67"/>
      <c r="H20" s="68">
        <f>H4-H18</f>
        <v>0</v>
      </c>
    </row>
  </sheetData>
  <phoneticPr fontId="5" type="noConversion"/>
  <hyperlinks>
    <hyperlink ref="K1" location="'Project Status'!A1" display="'Project Status'!A1" xr:uid="{010B6311-36CC-4254-80DE-DB47A9906603}"/>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0B1B2-EBDB-49C5-9C4A-BAEE14C74FFB}">
  <sheetPr>
    <tabColor rgb="FFFFFF93"/>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5.3046875" style="39" bestFit="1" customWidth="1"/>
    <col min="3" max="3" width="6.84375" style="39" bestFit="1" customWidth="1"/>
    <col min="4" max="4" width="39.3046875" style="39" bestFit="1" customWidth="1"/>
    <col min="5" max="5" width="39.84375" style="39" bestFit="1" customWidth="1"/>
    <col min="6" max="6" width="31.3046875" style="39" bestFit="1" customWidth="1"/>
    <col min="7" max="7" width="13.69140625" style="39" bestFit="1" customWidth="1"/>
    <col min="8" max="8" width="16.53515625" style="39" bestFit="1" customWidth="1"/>
    <col min="9" max="9" width="12.8437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20936</v>
      </c>
      <c r="B4" s="46">
        <f>VLOOKUP(A4,'Project Status'!C:D,2,FALSE)</f>
        <v>8814</v>
      </c>
      <c r="C4" s="46">
        <f>VLOOKUP(A4,'Project Status'!C:E,3,FALSE)</f>
        <v>0</v>
      </c>
      <c r="D4" s="46" t="str">
        <f>VLOOKUP(A4,'Project Status'!C:F,4,FALSE)</f>
        <v>12000 - Arts and Science: Office of the Dean</v>
      </c>
      <c r="E4" s="46" t="str">
        <f>VLOOKUP(A4,'Project Status'!C:I,7,FALSE)</f>
        <v>Wilson Hall - Lighting Retrofit for 103 and 126</v>
      </c>
      <c r="F4" s="46" t="str">
        <f>VLOOKUP(A4,'Project Status'!C:K,9,FALSE)</f>
        <v>Warranty or Construction Closeout</v>
      </c>
      <c r="G4" s="46" t="str">
        <f>VLOOKUP(A4,'Project Status'!C:L,10,FALSE)</f>
        <v>Jay Surprenant</v>
      </c>
      <c r="H4" s="47">
        <f>VLOOKUP(A4,'Project Status'!C:N,12,FALSE)</f>
        <v>404655.91</v>
      </c>
      <c r="I4" s="48">
        <f>VLOOKUP(A4,'Project Status'!C:Q,15,FALSE)</f>
        <v>357255.91</v>
      </c>
    </row>
    <row r="8" spans="1:11" x14ac:dyDescent="0.4">
      <c r="E8" s="52" t="s">
        <v>123</v>
      </c>
    </row>
    <row r="9" spans="1:11" x14ac:dyDescent="0.4">
      <c r="E9" s="53" t="s">
        <v>370</v>
      </c>
      <c r="F9" s="39" t="s">
        <v>138</v>
      </c>
      <c r="H9" s="49">
        <v>404655.91</v>
      </c>
    </row>
    <row r="10" spans="1:11" x14ac:dyDescent="0.4">
      <c r="E10" s="53"/>
      <c r="H10" s="49"/>
    </row>
    <row r="12" spans="1:11" x14ac:dyDescent="0.4">
      <c r="F12" s="56"/>
      <c r="G12" s="56"/>
      <c r="H12" s="69"/>
    </row>
    <row r="18" spans="5:8" x14ac:dyDescent="0.4">
      <c r="E18" s="64" t="s">
        <v>250</v>
      </c>
      <c r="F18" s="65"/>
      <c r="G18" s="64"/>
      <c r="H18" s="66">
        <f>SUM(H9:H17)</f>
        <v>404655.91</v>
      </c>
    </row>
    <row r="20" spans="5:8" x14ac:dyDescent="0.4">
      <c r="E20" s="67" t="s">
        <v>135</v>
      </c>
      <c r="F20" s="67"/>
      <c r="G20" s="67"/>
      <c r="H20" s="68">
        <f>H4-H18</f>
        <v>0</v>
      </c>
    </row>
  </sheetData>
  <hyperlinks>
    <hyperlink ref="K1" location="'Project Status'!A1" display="'Project Status'!A1" xr:uid="{F7F8C54D-A01C-4604-8085-EC56EA3D760E}"/>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8B367-0D18-4B42-B53A-B92AE5134A1F}">
  <sheetPr>
    <tabColor rgb="FFFFFF93"/>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5.3046875" style="39" bestFit="1" customWidth="1"/>
    <col min="3" max="3" width="10.69140625" style="39" bestFit="1" customWidth="1"/>
    <col min="4" max="4" width="34.69140625" style="39" bestFit="1" customWidth="1"/>
    <col min="5" max="5" width="44.3046875" style="39" bestFit="1" customWidth="1"/>
    <col min="6" max="6" width="17.3046875" style="39" bestFit="1" customWidth="1"/>
    <col min="7" max="7" width="12.15234375" style="39" bestFit="1" customWidth="1"/>
    <col min="8" max="8" width="16.53515625" style="39" bestFit="1" customWidth="1"/>
    <col min="9" max="9" width="12.8437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20940</v>
      </c>
      <c r="B4" s="46">
        <f>VLOOKUP(A4,'Project Status'!C:D,2,FALSE)</f>
        <v>8412</v>
      </c>
      <c r="C4" s="46" t="str">
        <f>VLOOKUP(A4,'Project Status'!C:E,3,FALSE)</f>
        <v>CP_400291</v>
      </c>
      <c r="D4" s="46" t="str">
        <f>VLOOKUP(A4,'Project Status'!C:F,4,FALSE)</f>
        <v>15000 - Engineering: Office of the Dean</v>
      </c>
      <c r="E4" s="46" t="str">
        <f>VLOOKUP(A4,'Project Status'!C:I,7,FALSE)</f>
        <v>1025 16th Avenue - Security System Replacement</v>
      </c>
      <c r="F4" s="46" t="str">
        <f>VLOOKUP(A4,'Project Status'!C:K,9,FALSE)</f>
        <v>Financial Closeout</v>
      </c>
      <c r="G4" s="46" t="str">
        <f>VLOOKUP(A4,'Project Status'!C:L,10,FALSE)</f>
        <v>Sean Rewers</v>
      </c>
      <c r="H4" s="47">
        <f>VLOOKUP(A4,'Project Status'!C:N,12,FALSE)</f>
        <v>309548.64</v>
      </c>
      <c r="I4" s="48">
        <f>VLOOKUP(A4,'Project Status'!C:Q,15,FALSE)</f>
        <v>298567.26</v>
      </c>
    </row>
    <row r="8" spans="1:11" x14ac:dyDescent="0.4">
      <c r="E8" s="52" t="s">
        <v>123</v>
      </c>
    </row>
    <row r="9" spans="1:11" x14ac:dyDescent="0.4">
      <c r="E9" s="53" t="s">
        <v>414</v>
      </c>
      <c r="F9" s="39" t="s">
        <v>138</v>
      </c>
      <c r="H9" s="49">
        <v>294789</v>
      </c>
    </row>
    <row r="10" spans="1:11" x14ac:dyDescent="0.4">
      <c r="E10" s="53" t="s">
        <v>427</v>
      </c>
      <c r="F10" s="39" t="s">
        <v>145</v>
      </c>
      <c r="H10" s="49">
        <v>14759.64</v>
      </c>
    </row>
    <row r="12" spans="1:11" x14ac:dyDescent="0.4">
      <c r="F12" s="56"/>
      <c r="G12" s="56"/>
      <c r="H12" s="69"/>
    </row>
    <row r="18" spans="5:8" x14ac:dyDescent="0.4">
      <c r="E18" s="64" t="s">
        <v>250</v>
      </c>
      <c r="F18" s="65"/>
      <c r="G18" s="64"/>
      <c r="H18" s="66">
        <f>SUM(H9:H17)</f>
        <v>309548.64</v>
      </c>
    </row>
    <row r="20" spans="5:8" x14ac:dyDescent="0.4">
      <c r="E20" s="67" t="s">
        <v>135</v>
      </c>
      <c r="F20" s="67"/>
      <c r="G20" s="67"/>
      <c r="H20" s="68">
        <f>H4-H18</f>
        <v>0</v>
      </c>
    </row>
  </sheetData>
  <hyperlinks>
    <hyperlink ref="K1" location="'Project Status'!A1" display="'Project Status'!A1" xr:uid="{FC858947-0188-4EC9-869C-2D48C036048B}"/>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FB1A4-E4A4-443B-9D88-63402CC6AC41}">
  <sheetPr>
    <tabColor rgb="FFFF66CC"/>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5.3046875" style="39" bestFit="1" customWidth="1"/>
    <col min="3" max="3" width="6.84375" style="39" bestFit="1" customWidth="1"/>
    <col min="4" max="4" width="17.3828125" style="39" bestFit="1" customWidth="1"/>
    <col min="5" max="5" width="39.3046875" style="39" bestFit="1" customWidth="1"/>
    <col min="6" max="6" width="8.69140625" style="39" bestFit="1" customWidth="1"/>
    <col min="7" max="7" width="12.15234375" style="39" bestFit="1" customWidth="1"/>
    <col min="8" max="8" width="16.53515625" style="39" bestFit="1" customWidth="1"/>
    <col min="9" max="9" width="11.6914062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20945</v>
      </c>
      <c r="B4" s="46">
        <f>VLOOKUP(A4,'Project Status'!C:D,2,FALSE)</f>
        <v>8905</v>
      </c>
      <c r="C4" s="46">
        <f>VLOOKUP(A4,'Project Status'!C:E,3,FALSE)</f>
        <v>0</v>
      </c>
      <c r="D4" s="46" t="str">
        <f>VLOOKUP(A4,'Project Status'!C:F,4,FALSE)</f>
        <v>10000 - Chancellor</v>
      </c>
      <c r="E4" s="46" t="str">
        <f>VLOOKUP(A4,'Project Status'!C:I,7,FALSE)</f>
        <v>Seigenthaler Building - HVAC Improvements</v>
      </c>
      <c r="F4" s="46" t="str">
        <f>VLOOKUP(A4,'Project Status'!C:K,9,FALSE)</f>
        <v>Finalized</v>
      </c>
      <c r="G4" s="46" t="str">
        <f>VLOOKUP(A4,'Project Status'!C:L,10,FALSE)</f>
        <v>Sean Rewers</v>
      </c>
      <c r="H4" s="47">
        <f>VLOOKUP(A4,'Project Status'!C:N,12,FALSE)</f>
        <v>99000</v>
      </c>
      <c r="I4" s="48">
        <f>VLOOKUP(A4,'Project Status'!C:Q,15,FALSE)</f>
        <v>70200</v>
      </c>
    </row>
    <row r="8" spans="1:11" x14ac:dyDescent="0.4">
      <c r="E8" s="52" t="s">
        <v>123</v>
      </c>
    </row>
    <row r="9" spans="1:11" x14ac:dyDescent="0.4">
      <c r="E9" s="53" t="s">
        <v>362</v>
      </c>
      <c r="F9" s="39" t="s">
        <v>138</v>
      </c>
      <c r="H9" s="49">
        <v>99000</v>
      </c>
    </row>
    <row r="10" spans="1:11" x14ac:dyDescent="0.4">
      <c r="E10" s="53" t="s">
        <v>668</v>
      </c>
      <c r="F10" s="39" t="s">
        <v>286</v>
      </c>
      <c r="H10" s="49">
        <v>-28800</v>
      </c>
    </row>
    <row r="12" spans="1:11" x14ac:dyDescent="0.4">
      <c r="F12" s="56"/>
      <c r="G12" s="56"/>
      <c r="H12" s="69"/>
    </row>
    <row r="18" spans="5:8" x14ac:dyDescent="0.4">
      <c r="E18" s="64" t="s">
        <v>250</v>
      </c>
      <c r="F18" s="65"/>
      <c r="G18" s="64"/>
      <c r="H18" s="66">
        <f>SUM(H9:H17)</f>
        <v>70200</v>
      </c>
    </row>
    <row r="20" spans="5:8" x14ac:dyDescent="0.4">
      <c r="E20" s="67" t="s">
        <v>135</v>
      </c>
      <c r="F20" s="67"/>
      <c r="G20" s="67"/>
      <c r="H20" s="68">
        <f>I4-H18</f>
        <v>0</v>
      </c>
    </row>
  </sheetData>
  <hyperlinks>
    <hyperlink ref="K1" location="'Project Status'!A1" display="'Project Status'!A1" xr:uid="{AA7E3536-03A0-4A48-A715-97F0A5AE2707}"/>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DEA44-BFD6-4B55-A95F-B5AF2714EBE3}">
  <sheetPr>
    <tabColor theme="4"/>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5.3046875" style="39" bestFit="1" customWidth="1"/>
    <col min="3" max="3" width="10.69140625" style="39" bestFit="1" customWidth="1"/>
    <col min="4" max="4" width="39.3046875" style="39" bestFit="1" customWidth="1"/>
    <col min="5" max="5" width="33.15234375" style="39" bestFit="1" customWidth="1"/>
    <col min="6" max="6" width="20.61328125" style="39" bestFit="1" customWidth="1"/>
    <col min="7" max="7" width="11.3046875" style="39" bestFit="1" customWidth="1"/>
    <col min="8" max="8" width="16.53515625" style="39" bestFit="1" customWidth="1"/>
    <col min="9" max="9" width="12.8437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20958</v>
      </c>
      <c r="B4" s="46">
        <f>VLOOKUP(A4,'Project Status'!C:D,2,FALSE)</f>
        <v>1642</v>
      </c>
      <c r="C4" s="46" t="str">
        <f>VLOOKUP(A4,'Project Status'!C:E,3,FALSE)</f>
        <v>CP_400256</v>
      </c>
      <c r="D4" s="46" t="str">
        <f>VLOOKUP(A4,'Project Status'!C:F,4,FALSE)</f>
        <v>12000 - Arts and Science: Office of the Dean</v>
      </c>
      <c r="E4" s="46" t="str">
        <f>VLOOKUP(A4,'Project Status'!C:I,7,FALSE)</f>
        <v>Furman Hall - Elevator Modernization</v>
      </c>
      <c r="F4" s="46" t="str">
        <f>VLOOKUP(A4,'Project Status'!C:K,9,FALSE)</f>
        <v>Construction Closeout</v>
      </c>
      <c r="G4" s="46" t="str">
        <f>VLOOKUP(A4,'Project Status'!C:L,10,FALSE)</f>
        <v>Ben Bedock</v>
      </c>
      <c r="H4" s="47">
        <f>VLOOKUP(A4,'Project Status'!C:N,12,FALSE)</f>
        <v>261629</v>
      </c>
      <c r="I4" s="48">
        <f>VLOOKUP(A4,'Project Status'!C:Q,15,FALSE)</f>
        <v>137776.91</v>
      </c>
    </row>
    <row r="8" spans="1:11" x14ac:dyDescent="0.4">
      <c r="E8" s="52" t="s">
        <v>123</v>
      </c>
    </row>
    <row r="9" spans="1:11" x14ac:dyDescent="0.4">
      <c r="E9" s="53" t="s">
        <v>381</v>
      </c>
      <c r="F9" s="39" t="s">
        <v>138</v>
      </c>
      <c r="H9" s="49">
        <v>18175</v>
      </c>
    </row>
    <row r="10" spans="1:11" x14ac:dyDescent="0.4">
      <c r="E10" s="53" t="s">
        <v>409</v>
      </c>
      <c r="F10" s="39" t="s">
        <v>203</v>
      </c>
      <c r="H10" s="49">
        <v>243454</v>
      </c>
    </row>
    <row r="12" spans="1:11" x14ac:dyDescent="0.4">
      <c r="F12" s="56"/>
      <c r="G12" s="56"/>
      <c r="H12" s="69"/>
    </row>
    <row r="18" spans="5:8" x14ac:dyDescent="0.4">
      <c r="E18" s="64" t="s">
        <v>250</v>
      </c>
      <c r="F18" s="65"/>
      <c r="G18" s="64"/>
      <c r="H18" s="66">
        <f>SUM(H9:H17)</f>
        <v>261629</v>
      </c>
    </row>
    <row r="20" spans="5:8" x14ac:dyDescent="0.4">
      <c r="E20" s="67" t="s">
        <v>135</v>
      </c>
      <c r="F20" s="67"/>
      <c r="G20" s="67"/>
      <c r="H20" s="68">
        <f>H4-H18</f>
        <v>0</v>
      </c>
    </row>
  </sheetData>
  <phoneticPr fontId="5" type="noConversion"/>
  <hyperlinks>
    <hyperlink ref="K1" location="'Project Status'!A1" display="'Project Status'!A1" xr:uid="{4F4EF9C2-0892-47DA-B8B0-8CAE31D586D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13F35-660F-4AAB-ABDE-95F720CDB1A2}">
  <sheetPr>
    <tabColor theme="4"/>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5.3046875" style="39" bestFit="1" customWidth="1"/>
    <col min="3" max="3" width="6.84375" style="39" bestFit="1" customWidth="1"/>
    <col min="4" max="4" width="39.3046875" style="39" bestFit="1" customWidth="1"/>
    <col min="5" max="5" width="30.84375" style="39" bestFit="1" customWidth="1"/>
    <col min="6" max="6" width="6.84375" style="39" bestFit="1" customWidth="1"/>
    <col min="7" max="7" width="11.3046875" style="39" bestFit="1" customWidth="1"/>
    <col min="8" max="8" width="16.53515625" style="39" bestFit="1" customWidth="1"/>
    <col min="9" max="9" width="10.6914062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20962</v>
      </c>
      <c r="B4" s="46">
        <f>VLOOKUP(A4,'Project Status'!C:D,2,FALSE)</f>
        <v>8754</v>
      </c>
      <c r="C4" s="46">
        <f>VLOOKUP(A4,'Project Status'!C:E,3,FALSE)</f>
        <v>0</v>
      </c>
      <c r="D4" s="46" t="str">
        <f>VLOOKUP(A4,'Project Status'!C:F,4,FALSE)</f>
        <v>12000 - Arts and Science: Office of the Dean</v>
      </c>
      <c r="E4" s="46" t="str">
        <f>VLOOKUP(A4,'Project Status'!C:I,7,FALSE)</f>
        <v>Vaughn Home - Roof Replacement</v>
      </c>
      <c r="F4" s="46" t="str">
        <f>VLOOKUP(A4,'Project Status'!C:K,9,FALSE)</f>
        <v>Design</v>
      </c>
      <c r="G4" s="46" t="str">
        <f>VLOOKUP(A4,'Project Status'!C:L,10,FALSE)</f>
        <v>Ben Bedock</v>
      </c>
      <c r="H4" s="47">
        <f>VLOOKUP(A4,'Project Status'!C:N,12,FALSE)</f>
        <v>1800</v>
      </c>
      <c r="I4" s="48">
        <f>VLOOKUP(A4,'Project Status'!C:Q,15,FALSE)</f>
        <v>1800</v>
      </c>
    </row>
    <row r="8" spans="1:11" x14ac:dyDescent="0.4">
      <c r="E8" s="52" t="s">
        <v>123</v>
      </c>
    </row>
    <row r="9" spans="1:11" x14ac:dyDescent="0.4">
      <c r="E9" s="53" t="s">
        <v>427</v>
      </c>
      <c r="F9" s="39" t="s">
        <v>138</v>
      </c>
      <c r="H9" s="49">
        <v>1800</v>
      </c>
    </row>
    <row r="10" spans="1:11" x14ac:dyDescent="0.4">
      <c r="E10" s="53"/>
      <c r="H10" s="49"/>
    </row>
    <row r="12" spans="1:11" x14ac:dyDescent="0.4">
      <c r="F12" s="56"/>
      <c r="G12" s="56"/>
      <c r="H12" s="69"/>
    </row>
    <row r="18" spans="5:8" x14ac:dyDescent="0.4">
      <c r="E18" s="64" t="s">
        <v>250</v>
      </c>
      <c r="F18" s="65"/>
      <c r="G18" s="64"/>
      <c r="H18" s="66">
        <f>SUM(H9:H17)</f>
        <v>1800</v>
      </c>
    </row>
    <row r="20" spans="5:8" x14ac:dyDescent="0.4">
      <c r="E20" s="67" t="s">
        <v>135</v>
      </c>
      <c r="F20" s="67"/>
      <c r="G20" s="67"/>
      <c r="H20" s="68">
        <f>H4-H18</f>
        <v>0</v>
      </c>
    </row>
  </sheetData>
  <hyperlinks>
    <hyperlink ref="K1" location="'Project Status'!A1" display="'Project Status'!A1" xr:uid="{E8AF03FD-36BC-478B-A99A-0100932F1994}"/>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55574-BF9D-41FB-8037-EB6DE970B909}">
  <sheetPr>
    <tabColor rgb="FFFF66CC"/>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4.3046875" style="39" bestFit="1" customWidth="1"/>
    <col min="3" max="3" width="10.69140625" style="39" bestFit="1" customWidth="1"/>
    <col min="4" max="4" width="34.69140625" style="39" bestFit="1" customWidth="1"/>
    <col min="5" max="5" width="34.3046875" style="39" bestFit="1" customWidth="1"/>
    <col min="6" max="6" width="12.15234375" style="39" bestFit="1" customWidth="1"/>
    <col min="7" max="7" width="11.3046875" style="39" bestFit="1" customWidth="1"/>
    <col min="8" max="8" width="16.53515625" style="39" bestFit="1" customWidth="1"/>
    <col min="9" max="9" width="12.92187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20979</v>
      </c>
      <c r="B4" s="46">
        <f>VLOOKUP(A4,'Project Status'!C:D,2,FALSE)</f>
        <v>9</v>
      </c>
      <c r="C4" s="46" t="str">
        <f>VLOOKUP(A4,'Project Status'!C:E,3,FALSE)</f>
        <v>CP_400330</v>
      </c>
      <c r="D4" s="46" t="str">
        <f>VLOOKUP(A4,'Project Status'!C:F,4,FALSE)</f>
        <v>15000 - Engineering: Office of the Dean</v>
      </c>
      <c r="E4" s="46" t="str">
        <f>VLOOKUP(A4,'Project Status'!C:I,7,FALSE)</f>
        <v>1025 16th Avenue - Roof Replacement</v>
      </c>
      <c r="F4" s="46" t="str">
        <f>VLOOKUP(A4,'Project Status'!C:K,9,FALSE)</f>
        <v>Construction</v>
      </c>
      <c r="G4" s="46" t="str">
        <f>VLOOKUP(A4,'Project Status'!C:L,10,FALSE)</f>
        <v>Ben Bedock</v>
      </c>
      <c r="H4" s="47">
        <f>VLOOKUP(A4,'Project Status'!C:N,12,FALSE)</f>
        <v>581188</v>
      </c>
      <c r="I4" s="48">
        <f>VLOOKUP(A4,'Project Status'!C:Q,15,FALSE)</f>
        <v>365000</v>
      </c>
    </row>
    <row r="8" spans="1:11" x14ac:dyDescent="0.4">
      <c r="E8" s="52" t="s">
        <v>123</v>
      </c>
    </row>
    <row r="9" spans="1:11" x14ac:dyDescent="0.4">
      <c r="E9" s="53" t="s">
        <v>552</v>
      </c>
      <c r="F9" s="39" t="s">
        <v>138</v>
      </c>
      <c r="H9" s="49">
        <v>529750</v>
      </c>
    </row>
    <row r="10" spans="1:11" x14ac:dyDescent="0.4">
      <c r="E10" s="53" t="s">
        <v>668</v>
      </c>
      <c r="F10" s="39" t="s">
        <v>203</v>
      </c>
      <c r="H10" s="49">
        <v>51438</v>
      </c>
    </row>
    <row r="12" spans="1:11" x14ac:dyDescent="0.4">
      <c r="F12" s="56"/>
      <c r="G12" s="56"/>
      <c r="H12" s="69"/>
    </row>
    <row r="18" spans="5:8" x14ac:dyDescent="0.4">
      <c r="E18" s="64" t="s">
        <v>250</v>
      </c>
      <c r="F18" s="65"/>
      <c r="G18" s="64"/>
      <c r="H18" s="66">
        <f>SUM(H9:H17)</f>
        <v>581188</v>
      </c>
    </row>
    <row r="20" spans="5:8" x14ac:dyDescent="0.4">
      <c r="E20" s="67" t="s">
        <v>135</v>
      </c>
      <c r="F20" s="67"/>
      <c r="G20" s="67"/>
      <c r="H20" s="68">
        <f>H4-H18</f>
        <v>0</v>
      </c>
    </row>
  </sheetData>
  <phoneticPr fontId="5" type="noConversion"/>
  <hyperlinks>
    <hyperlink ref="K1" location="'Project Status'!A1" display="'Project Status'!A1" xr:uid="{80882098-55DD-4425-9FFF-D195586FC276}"/>
  </hyperlinks>
  <pageMargins left="0.7" right="0.7" top="0.75" bottom="0.75" header="0.3" footer="0.3"/>
  <pageSetup paperSize="11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13A49-199E-41F3-880B-5FEB24366C98}">
  <sheetPr>
    <tabColor theme="7"/>
  </sheetPr>
  <dimension ref="A1:C135"/>
  <sheetViews>
    <sheetView zoomScaleNormal="100" workbookViewId="0">
      <pane ySplit="3" topLeftCell="A4" activePane="bottomLeft" state="frozen"/>
      <selection activeCell="D92" sqref="D92"/>
      <selection pane="bottomLeft" activeCell="C20" sqref="C20"/>
    </sheetView>
  </sheetViews>
  <sheetFormatPr defaultColWidth="9.3046875" defaultRowHeight="14.6" x14ac:dyDescent="0.4"/>
  <cols>
    <col min="1" max="1" width="62.07421875" style="39" bestFit="1" customWidth="1"/>
    <col min="2" max="2" width="17.3046875" style="169" bestFit="1" customWidth="1"/>
    <col min="3" max="3" width="17.4609375" style="169" bestFit="1" customWidth="1"/>
    <col min="4" max="4" width="16" style="39" bestFit="1" customWidth="1"/>
    <col min="5" max="16384" width="9.3046875" style="39"/>
  </cols>
  <sheetData>
    <row r="1" spans="1:3" s="241" customFormat="1" x14ac:dyDescent="0.4">
      <c r="A1" s="56" t="s">
        <v>196</v>
      </c>
      <c r="B1" s="169"/>
      <c r="C1" s="169"/>
    </row>
    <row r="3" spans="1:3" x14ac:dyDescent="0.4">
      <c r="A3" s="340" t="s">
        <v>114</v>
      </c>
      <c r="B3" s="341" t="s">
        <v>118</v>
      </c>
      <c r="C3" s="341" t="s">
        <v>116</v>
      </c>
    </row>
    <row r="4" spans="1:3" x14ac:dyDescent="0.4">
      <c r="A4" s="342" t="s">
        <v>152</v>
      </c>
      <c r="B4" s="343">
        <v>456850</v>
      </c>
      <c r="C4" s="343">
        <v>456850</v>
      </c>
    </row>
    <row r="5" spans="1:3" x14ac:dyDescent="0.4">
      <c r="A5" s="344" t="s">
        <v>105</v>
      </c>
      <c r="B5" s="343">
        <v>456850</v>
      </c>
      <c r="C5" s="343">
        <v>456850</v>
      </c>
    </row>
    <row r="6" spans="1:3" x14ac:dyDescent="0.4">
      <c r="A6" s="342" t="s">
        <v>313</v>
      </c>
      <c r="B6" s="343">
        <v>591684</v>
      </c>
      <c r="C6" s="343">
        <v>806417.27</v>
      </c>
    </row>
    <row r="7" spans="1:3" x14ac:dyDescent="0.4">
      <c r="A7" s="344" t="s">
        <v>108</v>
      </c>
      <c r="B7" s="343">
        <v>17500</v>
      </c>
      <c r="C7" s="343">
        <v>22000</v>
      </c>
    </row>
    <row r="8" spans="1:3" x14ac:dyDescent="0.4">
      <c r="A8" s="344" t="s">
        <v>312</v>
      </c>
      <c r="B8" s="343">
        <v>499184</v>
      </c>
      <c r="C8" s="343">
        <v>499184</v>
      </c>
    </row>
    <row r="9" spans="1:3" x14ac:dyDescent="0.4">
      <c r="A9" s="344" t="s">
        <v>363</v>
      </c>
      <c r="B9" s="343">
        <v>75000</v>
      </c>
      <c r="C9" s="343">
        <v>285233.27</v>
      </c>
    </row>
    <row r="10" spans="1:3" x14ac:dyDescent="0.4">
      <c r="A10" s="342" t="s">
        <v>156</v>
      </c>
      <c r="B10" s="343">
        <v>630554</v>
      </c>
      <c r="C10" s="343">
        <v>630554</v>
      </c>
    </row>
    <row r="11" spans="1:3" x14ac:dyDescent="0.4">
      <c r="A11" s="344" t="s">
        <v>262</v>
      </c>
      <c r="B11" s="343">
        <v>630554</v>
      </c>
      <c r="C11" s="343">
        <v>630554</v>
      </c>
    </row>
    <row r="12" spans="1:3" x14ac:dyDescent="0.4">
      <c r="A12" s="342" t="s">
        <v>244</v>
      </c>
      <c r="B12" s="343">
        <v>149000</v>
      </c>
      <c r="C12" s="343">
        <v>148299</v>
      </c>
    </row>
    <row r="13" spans="1:3" x14ac:dyDescent="0.4">
      <c r="A13" s="344" t="s">
        <v>245</v>
      </c>
      <c r="B13" s="343">
        <v>149000</v>
      </c>
      <c r="C13" s="343">
        <v>148299</v>
      </c>
    </row>
    <row r="14" spans="1:3" x14ac:dyDescent="0.4">
      <c r="A14" s="342" t="s">
        <v>159</v>
      </c>
      <c r="B14" s="343">
        <v>2202627.2599999998</v>
      </c>
      <c r="C14" s="343">
        <v>2221968.2599999998</v>
      </c>
    </row>
    <row r="15" spans="1:3" x14ac:dyDescent="0.4">
      <c r="A15" s="344" t="s">
        <v>201</v>
      </c>
      <c r="B15" s="343">
        <v>225791</v>
      </c>
      <c r="C15" s="343">
        <v>239341</v>
      </c>
    </row>
    <row r="16" spans="1:3" x14ac:dyDescent="0.4">
      <c r="A16" s="344" t="s">
        <v>182</v>
      </c>
      <c r="B16" s="343">
        <v>1232681</v>
      </c>
      <c r="C16" s="343">
        <v>1232681</v>
      </c>
    </row>
    <row r="17" spans="1:3" x14ac:dyDescent="0.4">
      <c r="A17" s="344" t="s">
        <v>107</v>
      </c>
      <c r="B17" s="343">
        <v>400000</v>
      </c>
      <c r="C17" s="343">
        <v>405791</v>
      </c>
    </row>
    <row r="18" spans="1:3" x14ac:dyDescent="0.4">
      <c r="A18" s="344" t="s">
        <v>227</v>
      </c>
      <c r="B18" s="343">
        <v>344155.26</v>
      </c>
      <c r="C18" s="343">
        <v>344155.26</v>
      </c>
    </row>
    <row r="19" spans="1:3" x14ac:dyDescent="0.4">
      <c r="A19" s="344" t="s">
        <v>590</v>
      </c>
      <c r="B19" s="343">
        <v>0</v>
      </c>
      <c r="C19" s="343">
        <v>0</v>
      </c>
    </row>
    <row r="20" spans="1:3" x14ac:dyDescent="0.4">
      <c r="A20" s="342" t="s">
        <v>115</v>
      </c>
      <c r="B20" s="343">
        <v>4030715.26</v>
      </c>
      <c r="C20" s="343">
        <v>4264088.53</v>
      </c>
    </row>
    <row r="21" spans="1:3" x14ac:dyDescent="0.4">
      <c r="B21" s="39"/>
      <c r="C21" s="39"/>
    </row>
    <row r="22" spans="1:3" x14ac:dyDescent="0.4">
      <c r="B22" s="39"/>
      <c r="C22" s="39"/>
    </row>
    <row r="23" spans="1:3" x14ac:dyDescent="0.4">
      <c r="B23" s="39"/>
      <c r="C23" s="39"/>
    </row>
    <row r="24" spans="1:3" x14ac:dyDescent="0.4">
      <c r="B24" s="39"/>
      <c r="C24" s="39"/>
    </row>
    <row r="25" spans="1:3" x14ac:dyDescent="0.4">
      <c r="B25" s="39"/>
      <c r="C25" s="39"/>
    </row>
    <row r="26" spans="1:3" x14ac:dyDescent="0.4">
      <c r="B26" s="39"/>
      <c r="C26" s="39"/>
    </row>
    <row r="27" spans="1:3" x14ac:dyDescent="0.4">
      <c r="B27" s="39"/>
      <c r="C27" s="39"/>
    </row>
    <row r="28" spans="1:3" x14ac:dyDescent="0.4">
      <c r="B28" s="39"/>
      <c r="C28" s="39"/>
    </row>
    <row r="29" spans="1:3" x14ac:dyDescent="0.4">
      <c r="B29" s="39"/>
      <c r="C29" s="39"/>
    </row>
    <row r="30" spans="1:3" x14ac:dyDescent="0.4">
      <c r="B30" s="39"/>
      <c r="C30" s="39"/>
    </row>
    <row r="31" spans="1:3" x14ac:dyDescent="0.4">
      <c r="B31" s="39"/>
      <c r="C31" s="39"/>
    </row>
    <row r="32" spans="1:3" x14ac:dyDescent="0.4">
      <c r="B32" s="39"/>
      <c r="C32" s="39"/>
    </row>
    <row r="33" s="39" customFormat="1" x14ac:dyDescent="0.4"/>
    <row r="34" s="39" customFormat="1" x14ac:dyDescent="0.4"/>
    <row r="35" s="39" customFormat="1" x14ac:dyDescent="0.4"/>
    <row r="36" s="39" customFormat="1" x14ac:dyDescent="0.4"/>
    <row r="37" s="39" customFormat="1" x14ac:dyDescent="0.4"/>
    <row r="38" s="39" customFormat="1" x14ac:dyDescent="0.4"/>
    <row r="39" s="39" customFormat="1" x14ac:dyDescent="0.4"/>
    <row r="40" s="39" customFormat="1" x14ac:dyDescent="0.4"/>
    <row r="41" s="39" customFormat="1" x14ac:dyDescent="0.4"/>
    <row r="42" s="39" customFormat="1" x14ac:dyDescent="0.4"/>
    <row r="43" s="39" customFormat="1" x14ac:dyDescent="0.4"/>
    <row r="44" s="39" customFormat="1" x14ac:dyDescent="0.4"/>
    <row r="45" s="39" customFormat="1" x14ac:dyDescent="0.4"/>
    <row r="46" s="39" customFormat="1" x14ac:dyDescent="0.4"/>
    <row r="47" s="39" customFormat="1" x14ac:dyDescent="0.4"/>
    <row r="48" s="39" customFormat="1" x14ac:dyDescent="0.4"/>
    <row r="49" s="39" customFormat="1" x14ac:dyDescent="0.4"/>
    <row r="50" s="39" customFormat="1" x14ac:dyDescent="0.4"/>
    <row r="51" s="39" customFormat="1" x14ac:dyDescent="0.4"/>
    <row r="52" s="39" customFormat="1" x14ac:dyDescent="0.4"/>
    <row r="53" s="39" customFormat="1" x14ac:dyDescent="0.4"/>
    <row r="54" s="39" customFormat="1" x14ac:dyDescent="0.4"/>
    <row r="55" s="39" customFormat="1" x14ac:dyDescent="0.4"/>
    <row r="56" s="39" customFormat="1" x14ac:dyDescent="0.4"/>
    <row r="57" s="39" customFormat="1" x14ac:dyDescent="0.4"/>
    <row r="58" s="39" customFormat="1" x14ac:dyDescent="0.4"/>
    <row r="59" s="39" customFormat="1" x14ac:dyDescent="0.4"/>
    <row r="60" s="39" customFormat="1" x14ac:dyDescent="0.4"/>
    <row r="61" s="39" customFormat="1" x14ac:dyDescent="0.4"/>
    <row r="62" s="39" customFormat="1" x14ac:dyDescent="0.4"/>
    <row r="63" s="39" customFormat="1" x14ac:dyDescent="0.4"/>
    <row r="64" s="39" customFormat="1" x14ac:dyDescent="0.4"/>
    <row r="65" s="39" customFormat="1" x14ac:dyDescent="0.4"/>
    <row r="66" s="39" customFormat="1" x14ac:dyDescent="0.4"/>
    <row r="67" s="39" customFormat="1" x14ac:dyDescent="0.4"/>
    <row r="68" s="39" customFormat="1" x14ac:dyDescent="0.4"/>
    <row r="69" s="39" customFormat="1" x14ac:dyDescent="0.4"/>
    <row r="70" s="39" customFormat="1" x14ac:dyDescent="0.4"/>
    <row r="71" s="39" customFormat="1" x14ac:dyDescent="0.4"/>
    <row r="72" s="39" customFormat="1" x14ac:dyDescent="0.4"/>
    <row r="73" s="39" customFormat="1" x14ac:dyDescent="0.4"/>
    <row r="74" s="39" customFormat="1" x14ac:dyDescent="0.4"/>
    <row r="75" s="39" customFormat="1" x14ac:dyDescent="0.4"/>
    <row r="76" s="39" customFormat="1" x14ac:dyDescent="0.4"/>
    <row r="77" s="39" customFormat="1" x14ac:dyDescent="0.4"/>
    <row r="78" s="39" customFormat="1" x14ac:dyDescent="0.4"/>
    <row r="79" s="39" customFormat="1" x14ac:dyDescent="0.4"/>
    <row r="80" s="39" customFormat="1" x14ac:dyDescent="0.4"/>
    <row r="81" s="39" customFormat="1" x14ac:dyDescent="0.4"/>
    <row r="82" s="39" customFormat="1" x14ac:dyDescent="0.4"/>
    <row r="83" s="39" customFormat="1" x14ac:dyDescent="0.4"/>
    <row r="84" s="39" customFormat="1" x14ac:dyDescent="0.4"/>
    <row r="85" s="39" customFormat="1" x14ac:dyDescent="0.4"/>
    <row r="86" s="39" customFormat="1" x14ac:dyDescent="0.4"/>
    <row r="87" s="39" customFormat="1" x14ac:dyDescent="0.4"/>
    <row r="88" s="39" customFormat="1" x14ac:dyDescent="0.4"/>
    <row r="89" s="39" customFormat="1" x14ac:dyDescent="0.4"/>
    <row r="90" s="39" customFormat="1" x14ac:dyDescent="0.4"/>
    <row r="91" s="39" customFormat="1" x14ac:dyDescent="0.4"/>
    <row r="92" s="39" customFormat="1" x14ac:dyDescent="0.4"/>
    <row r="93" s="39" customFormat="1" x14ac:dyDescent="0.4"/>
    <row r="94" s="39" customFormat="1" x14ac:dyDescent="0.4"/>
    <row r="95" s="39" customFormat="1" x14ac:dyDescent="0.4"/>
    <row r="96" s="39" customFormat="1" x14ac:dyDescent="0.4"/>
    <row r="97" s="39" customFormat="1" x14ac:dyDescent="0.4"/>
    <row r="98" s="39" customFormat="1" x14ac:dyDescent="0.4"/>
    <row r="99" s="39" customFormat="1" x14ac:dyDescent="0.4"/>
    <row r="100" s="39" customFormat="1" x14ac:dyDescent="0.4"/>
    <row r="101" s="39" customFormat="1" x14ac:dyDescent="0.4"/>
    <row r="102" s="39" customFormat="1" x14ac:dyDescent="0.4"/>
    <row r="103" s="39" customFormat="1" x14ac:dyDescent="0.4"/>
    <row r="104" s="39" customFormat="1" x14ac:dyDescent="0.4"/>
    <row r="105" s="39" customFormat="1" x14ac:dyDescent="0.4"/>
    <row r="106" s="39" customFormat="1" x14ac:dyDescent="0.4"/>
    <row r="107" s="39" customFormat="1" x14ac:dyDescent="0.4"/>
    <row r="108" s="39" customFormat="1" x14ac:dyDescent="0.4"/>
    <row r="109" s="39" customFormat="1" x14ac:dyDescent="0.4"/>
    <row r="110" s="39" customFormat="1" x14ac:dyDescent="0.4"/>
    <row r="111" s="39" customFormat="1" x14ac:dyDescent="0.4"/>
    <row r="112" s="39" customFormat="1" x14ac:dyDescent="0.4"/>
    <row r="113" s="39" customFormat="1" x14ac:dyDescent="0.4"/>
    <row r="114" s="39" customFormat="1" x14ac:dyDescent="0.4"/>
    <row r="115" s="39" customFormat="1" x14ac:dyDescent="0.4"/>
    <row r="116" s="39" customFormat="1" x14ac:dyDescent="0.4"/>
    <row r="117" s="39" customFormat="1" x14ac:dyDescent="0.4"/>
    <row r="118" s="39" customFormat="1" x14ac:dyDescent="0.4"/>
    <row r="119" s="39" customFormat="1" x14ac:dyDescent="0.4"/>
    <row r="120" s="39" customFormat="1" x14ac:dyDescent="0.4"/>
    <row r="121" s="39" customFormat="1" x14ac:dyDescent="0.4"/>
    <row r="122" s="39" customFormat="1" x14ac:dyDescent="0.4"/>
    <row r="123" s="39" customFormat="1" x14ac:dyDescent="0.4"/>
    <row r="124" s="39" customFormat="1" x14ac:dyDescent="0.4"/>
    <row r="125" s="39" customFormat="1" x14ac:dyDescent="0.4"/>
    <row r="126" s="39" customFormat="1" x14ac:dyDescent="0.4"/>
    <row r="127" s="39" customFormat="1" x14ac:dyDescent="0.4"/>
    <row r="128" s="39" customFormat="1" x14ac:dyDescent="0.4"/>
    <row r="129" s="39" customFormat="1" x14ac:dyDescent="0.4"/>
    <row r="130" s="39" customFormat="1" x14ac:dyDescent="0.4"/>
    <row r="131" s="39" customFormat="1" x14ac:dyDescent="0.4"/>
    <row r="132" s="39" customFormat="1" x14ac:dyDescent="0.4"/>
    <row r="133" s="39" customFormat="1" x14ac:dyDescent="0.4"/>
    <row r="134" s="39" customFormat="1" x14ac:dyDescent="0.4"/>
    <row r="135" s="39" customFormat="1" x14ac:dyDescent="0.4"/>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89CEF-3829-4604-B749-F5B3BE10CC44}">
  <sheetPr>
    <tabColor theme="4"/>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5.3046875" style="39" bestFit="1" customWidth="1"/>
    <col min="3" max="3" width="10.69140625" style="39" bestFit="1" customWidth="1"/>
    <col min="4" max="4" width="26.3828125" style="39" bestFit="1" customWidth="1"/>
    <col min="5" max="5" width="33.84375" style="39" bestFit="1" customWidth="1"/>
    <col min="6" max="6" width="20.69140625" style="39" bestFit="1" customWidth="1"/>
    <col min="7" max="7" width="11.3046875" style="39" bestFit="1" customWidth="1"/>
    <col min="8" max="8" width="16.53515625" style="39" bestFit="1" customWidth="1"/>
    <col min="9" max="9" width="12.8437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20982</v>
      </c>
      <c r="B4" s="46">
        <f>VLOOKUP(A4,'Project Status'!C:D,2,FALSE)</f>
        <v>8442</v>
      </c>
      <c r="C4" s="46" t="str">
        <f>VLOOKUP(A4,'Project Status'!C:E,3,FALSE)</f>
        <v>CP_400270</v>
      </c>
      <c r="D4" s="46" t="str">
        <f>VLOOKUP(A4,'Project Status'!C:F,4,FALSE)</f>
        <v>17100 - Law: Business Affairs</v>
      </c>
      <c r="E4" s="46" t="str">
        <f>VLOOKUP(A4,'Project Status'!C:I,7,FALSE)</f>
        <v>Law School - Elevator 1 Modernization</v>
      </c>
      <c r="F4" s="46" t="str">
        <f>VLOOKUP(A4,'Project Status'!C:K,9,FALSE)</f>
        <v>Construction Closeout</v>
      </c>
      <c r="G4" s="46" t="str">
        <f>VLOOKUP(A4,'Project Status'!C:L,10,FALSE)</f>
        <v>Ben Bedock</v>
      </c>
      <c r="H4" s="47">
        <f>VLOOKUP(A4,'Project Status'!C:N,12,FALSE)</f>
        <v>272000</v>
      </c>
      <c r="I4" s="48">
        <f>VLOOKUP(A4,'Project Status'!C:Q,15,FALSE)</f>
        <v>246321</v>
      </c>
    </row>
    <row r="8" spans="1:11" x14ac:dyDescent="0.4">
      <c r="E8" s="52" t="s">
        <v>123</v>
      </c>
    </row>
    <row r="9" spans="1:11" x14ac:dyDescent="0.4">
      <c r="E9" s="53" t="s">
        <v>383</v>
      </c>
      <c r="F9" s="39" t="s">
        <v>138</v>
      </c>
      <c r="H9" s="49">
        <v>18175</v>
      </c>
    </row>
    <row r="10" spans="1:11" x14ac:dyDescent="0.4">
      <c r="E10" s="53" t="s">
        <v>414</v>
      </c>
      <c r="F10" s="39" t="s">
        <v>203</v>
      </c>
      <c r="H10" s="49">
        <v>253825</v>
      </c>
    </row>
    <row r="12" spans="1:11" x14ac:dyDescent="0.4">
      <c r="F12" s="56"/>
      <c r="G12" s="56"/>
      <c r="H12" s="69"/>
    </row>
    <row r="18" spans="5:8" x14ac:dyDescent="0.4">
      <c r="E18" s="64" t="s">
        <v>250</v>
      </c>
      <c r="F18" s="65"/>
      <c r="G18" s="64"/>
      <c r="H18" s="66">
        <f>SUM(H9:H17)</f>
        <v>272000</v>
      </c>
    </row>
    <row r="20" spans="5:8" x14ac:dyDescent="0.4">
      <c r="E20" s="67" t="s">
        <v>135</v>
      </c>
      <c r="F20" s="67"/>
      <c r="G20" s="67"/>
      <c r="H20" s="68">
        <f>H4-H18</f>
        <v>0</v>
      </c>
    </row>
  </sheetData>
  <phoneticPr fontId="5" type="noConversion"/>
  <hyperlinks>
    <hyperlink ref="K1" location="'Project Status'!A1" display="'Project Status'!A1" xr:uid="{971C022E-07DF-4C69-A083-9159FE5383CD}"/>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5E141-0174-4F11-B90A-C27F2889FDEB}">
  <sheetPr>
    <tabColor rgb="FFFFFF93"/>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5.3046875" style="39" bestFit="1" customWidth="1"/>
    <col min="3" max="3" width="6.84375" style="39" bestFit="1" customWidth="1"/>
    <col min="4" max="4" width="39.3046875" style="39" bestFit="1" customWidth="1"/>
    <col min="5" max="5" width="37.84375" style="39" bestFit="1" customWidth="1"/>
    <col min="6" max="6" width="17.3046875" style="39" bestFit="1" customWidth="1"/>
    <col min="7" max="7" width="10.3828125" style="39" bestFit="1" customWidth="1"/>
    <col min="8" max="8" width="16.53515625" style="39" bestFit="1" customWidth="1"/>
    <col min="9" max="9" width="12.8437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20984</v>
      </c>
      <c r="B4" s="46">
        <f>VLOOKUP(A4,'Project Status'!C:D,2,FALSE)</f>
        <v>8712</v>
      </c>
      <c r="C4" s="46">
        <f>VLOOKUP(A4,'Project Status'!C:E,3,FALSE)</f>
        <v>0</v>
      </c>
      <c r="D4" s="46" t="str">
        <f>VLOOKUP(A4,'Project Status'!C:F,4,FALSE)</f>
        <v>12000 - Arts and Science: Office of the Dean</v>
      </c>
      <c r="E4" s="46" t="str">
        <f>VLOOKUP(A4,'Project Status'!C:I,7,FALSE)</f>
        <v>Wilson Hall - 1st Floor Urinal Replacement</v>
      </c>
      <c r="F4" s="46" t="str">
        <f>VLOOKUP(A4,'Project Status'!C:K,9,FALSE)</f>
        <v>Financial Closeout</v>
      </c>
      <c r="G4" s="46" t="str">
        <f>VLOOKUP(A4,'Project Status'!C:L,10,FALSE)</f>
        <v>Hans Mooy</v>
      </c>
      <c r="H4" s="47">
        <f>VLOOKUP(A4,'Project Status'!C:N,12,FALSE)</f>
        <v>167000</v>
      </c>
      <c r="I4" s="48">
        <f>VLOOKUP(A4,'Project Status'!C:Q,15,FALSE)</f>
        <v>136652</v>
      </c>
    </row>
    <row r="6" spans="1:11" x14ac:dyDescent="0.4">
      <c r="I6" s="54"/>
    </row>
    <row r="8" spans="1:11" x14ac:dyDescent="0.4">
      <c r="E8" s="52" t="s">
        <v>123</v>
      </c>
    </row>
    <row r="9" spans="1:11" x14ac:dyDescent="0.4">
      <c r="E9" s="53" t="s">
        <v>412</v>
      </c>
      <c r="F9" s="39" t="s">
        <v>138</v>
      </c>
      <c r="H9" s="49">
        <v>167000</v>
      </c>
    </row>
    <row r="10" spans="1:11" x14ac:dyDescent="0.4">
      <c r="E10" s="53"/>
      <c r="H10" s="49"/>
    </row>
    <row r="12" spans="1:11" x14ac:dyDescent="0.4">
      <c r="F12" s="56"/>
      <c r="G12" s="56"/>
      <c r="H12" s="69"/>
    </row>
    <row r="18" spans="5:8" x14ac:dyDescent="0.4">
      <c r="E18" s="64" t="s">
        <v>250</v>
      </c>
      <c r="F18" s="65"/>
      <c r="G18" s="64"/>
      <c r="H18" s="66">
        <f>SUM(H9:H17)</f>
        <v>167000</v>
      </c>
    </row>
    <row r="20" spans="5:8" x14ac:dyDescent="0.4">
      <c r="E20" s="67" t="s">
        <v>135</v>
      </c>
      <c r="F20" s="67"/>
      <c r="G20" s="67"/>
      <c r="H20" s="68">
        <f>H4-H18</f>
        <v>0</v>
      </c>
    </row>
  </sheetData>
  <hyperlinks>
    <hyperlink ref="K1" location="'Project Status'!A1" display="'Project Status'!A1" xr:uid="{EF83A2D8-BED0-47B7-8C05-2C9B4E6C8B86}"/>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8FF24-C424-4F79-A80C-D9A38B06ECC3}">
  <sheetPr>
    <tabColor theme="4"/>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5.3046875" style="39" bestFit="1" customWidth="1"/>
    <col min="3" max="3" width="10.69140625" style="39" bestFit="1" customWidth="1"/>
    <col min="4" max="4" width="37.69140625" style="39" bestFit="1" customWidth="1"/>
    <col min="5" max="5" width="40.3046875" style="39" bestFit="1" customWidth="1"/>
    <col min="6" max="6" width="12.15234375" style="39" bestFit="1" customWidth="1"/>
    <col min="7" max="7" width="13.69140625" style="39" bestFit="1" customWidth="1"/>
    <col min="8" max="8" width="16.53515625" style="39" bestFit="1" customWidth="1"/>
    <col min="9" max="9" width="11.6914062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21004</v>
      </c>
      <c r="B4" s="46">
        <f>VLOOKUP(A4,'Project Status'!C:D,2,FALSE)</f>
        <v>1010</v>
      </c>
      <c r="C4" s="46" t="str">
        <f>VLOOKUP(A4,'Project Status'!C:E,3,FALSE)</f>
        <v>CP_400332</v>
      </c>
      <c r="D4" s="46" t="str">
        <f>VLOOKUP(A4,'Project Status'!C:F,4,FALSE)</f>
        <v>12100 - Arts and Science: Business Affairs</v>
      </c>
      <c r="E4" s="46" t="str">
        <f>VLOOKUP(A4,'Project Status'!C:I,7,FALSE)</f>
        <v>SC5 - HVAC Upgrade Floors 1 and 2 (Phase 1)</v>
      </c>
      <c r="F4" s="46" t="str">
        <f>VLOOKUP(A4,'Project Status'!C:K,9,FALSE)</f>
        <v>Construction</v>
      </c>
      <c r="G4" s="46" t="str">
        <f>VLOOKUP(A4,'Project Status'!C:L,10,FALSE)</f>
        <v>Jay Surprenant</v>
      </c>
      <c r="H4" s="47">
        <f>VLOOKUP(A4,'Project Status'!C:N,12,FALSE)</f>
        <v>992453</v>
      </c>
      <c r="I4" s="48">
        <f>VLOOKUP(A4,'Project Status'!C:Q,15,FALSE)</f>
        <v>37400</v>
      </c>
    </row>
    <row r="8" spans="1:11" x14ac:dyDescent="0.4">
      <c r="E8" s="52" t="s">
        <v>123</v>
      </c>
    </row>
    <row r="9" spans="1:11" x14ac:dyDescent="0.4">
      <c r="E9" s="39" t="s">
        <v>414</v>
      </c>
      <c r="F9" s="39" t="s">
        <v>138</v>
      </c>
      <c r="H9" s="49">
        <v>54000</v>
      </c>
    </row>
    <row r="10" spans="1:11" x14ac:dyDescent="0.4">
      <c r="E10" s="39" t="s">
        <v>456</v>
      </c>
      <c r="F10" s="39" t="s">
        <v>203</v>
      </c>
      <c r="H10" s="49">
        <v>938453</v>
      </c>
    </row>
    <row r="12" spans="1:11" x14ac:dyDescent="0.4">
      <c r="F12" s="56"/>
      <c r="G12" s="56"/>
      <c r="H12" s="69"/>
    </row>
    <row r="18" spans="5:8" x14ac:dyDescent="0.4">
      <c r="E18" s="64" t="s">
        <v>250</v>
      </c>
      <c r="F18" s="65"/>
      <c r="G18" s="64"/>
      <c r="H18" s="66">
        <f>SUM(H9:H17)</f>
        <v>992453</v>
      </c>
    </row>
    <row r="20" spans="5:8" x14ac:dyDescent="0.4">
      <c r="E20" s="67" t="s">
        <v>135</v>
      </c>
      <c r="F20" s="67"/>
      <c r="G20" s="67"/>
      <c r="H20" s="68">
        <f>H4-H18</f>
        <v>0</v>
      </c>
    </row>
  </sheetData>
  <hyperlinks>
    <hyperlink ref="K1" location="'Project Status'!A1" display="'Project Status'!A1" xr:uid="{3F7B5724-6E4A-4D29-9CC2-CE94772EC866}"/>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22ED7-DE67-4022-B6B9-88348E71687E}">
  <sheetPr>
    <tabColor rgb="FFFF66CC"/>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4.3046875" style="39" bestFit="1" customWidth="1"/>
    <col min="3" max="3" width="10.69140625" style="39" bestFit="1" customWidth="1"/>
    <col min="4" max="4" width="34.69140625" style="39" bestFit="1" customWidth="1"/>
    <col min="5" max="5" width="49.69140625" style="39" bestFit="1" customWidth="1"/>
    <col min="6" max="6" width="17.3046875" style="39" bestFit="1" customWidth="1"/>
    <col min="7" max="7" width="12.15234375" style="39" bestFit="1" customWidth="1"/>
    <col min="8" max="8" width="16.53515625" style="39" bestFit="1" customWidth="1"/>
    <col min="9" max="9" width="13.6914062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21010</v>
      </c>
      <c r="B4" s="46">
        <f>VLOOKUP(A4,'Project Status'!C:D,2,FALSE)</f>
        <v>0</v>
      </c>
      <c r="C4" s="46" t="str">
        <f>VLOOKUP(A4,'Project Status'!C:E,3,FALSE)</f>
        <v>CP_400312</v>
      </c>
      <c r="D4" s="46" t="str">
        <f>VLOOKUP(A4,'Project Status'!C:F,4,FALSE)</f>
        <v>15000 - Engineering: Office of the Dean</v>
      </c>
      <c r="E4" s="46" t="str">
        <f>VLOOKUP(A4,'Project Status'!C:I,7,FALSE)</f>
        <v>Featheringill-Jacobs Hall - Hot Water Tank Replacement</v>
      </c>
      <c r="F4" s="46" t="str">
        <f>VLOOKUP(A4,'Project Status'!C:K,9,FALSE)</f>
        <v>Financial Closeout</v>
      </c>
      <c r="G4" s="46" t="str">
        <f>VLOOKUP(A4,'Project Status'!C:L,10,FALSE)</f>
        <v>Sean Rewers</v>
      </c>
      <c r="H4" s="47">
        <f>VLOOKUP(A4,'Project Status'!C:N,12,FALSE)</f>
        <v>126024</v>
      </c>
      <c r="I4" s="48">
        <f>VLOOKUP(A4,'Project Status'!C:Q,15,FALSE)</f>
        <v>112824.84</v>
      </c>
    </row>
    <row r="8" spans="1:11" x14ac:dyDescent="0.4">
      <c r="E8" s="52" t="s">
        <v>123</v>
      </c>
    </row>
    <row r="9" spans="1:11" x14ac:dyDescent="0.4">
      <c r="E9" s="53" t="s">
        <v>448</v>
      </c>
      <c r="F9" s="39" t="s">
        <v>138</v>
      </c>
      <c r="H9" s="49">
        <v>126024</v>
      </c>
    </row>
    <row r="10" spans="1:11" x14ac:dyDescent="0.4">
      <c r="E10" s="53" t="s">
        <v>668</v>
      </c>
      <c r="F10" s="39" t="s">
        <v>286</v>
      </c>
      <c r="H10" s="49">
        <v>-13199.16</v>
      </c>
    </row>
    <row r="12" spans="1:11" x14ac:dyDescent="0.4">
      <c r="F12" s="56"/>
      <c r="G12" s="56"/>
      <c r="H12" s="69"/>
    </row>
    <row r="18" spans="5:8" x14ac:dyDescent="0.4">
      <c r="E18" s="64" t="s">
        <v>250</v>
      </c>
      <c r="F18" s="65"/>
      <c r="G18" s="64"/>
      <c r="H18" s="66">
        <f>SUM(H9:H17)</f>
        <v>112824.84</v>
      </c>
    </row>
    <row r="20" spans="5:8" x14ac:dyDescent="0.4">
      <c r="E20" s="67" t="s">
        <v>135</v>
      </c>
      <c r="F20" s="67"/>
      <c r="G20" s="67"/>
      <c r="H20" s="68">
        <f>I4-H18</f>
        <v>0</v>
      </c>
    </row>
  </sheetData>
  <hyperlinks>
    <hyperlink ref="K1" location="'Project Status'!A1" display="'Project Status'!A1" xr:uid="{33D90F1A-B38A-42B9-9EA2-242D0DAA4B46}"/>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FF9F3-5F19-4F05-8A29-8388DB769A8E}">
  <sheetPr>
    <tabColor rgb="FFFFFF93"/>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4.3046875" style="39" bestFit="1" customWidth="1"/>
    <col min="3" max="3" width="6.84375" style="39" bestFit="1" customWidth="1"/>
    <col min="4" max="4" width="26.3828125" style="39" bestFit="1" customWidth="1"/>
    <col min="5" max="5" width="27.15234375" style="39" bestFit="1" customWidth="1"/>
    <col min="6" max="6" width="17.3046875" style="39" bestFit="1" customWidth="1"/>
    <col min="7" max="7" width="11.3046875" style="39" bestFit="1" customWidth="1"/>
    <col min="8" max="8" width="16.53515625" style="39" bestFit="1" customWidth="1"/>
    <col min="9" max="9" width="11.6914062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21035</v>
      </c>
      <c r="B4" s="46">
        <f>VLOOKUP(A4,'Project Status'!C:D,2,FALSE)</f>
        <v>0</v>
      </c>
      <c r="C4" s="46">
        <f>VLOOKUP(A4,'Project Status'!C:E,3,FALSE)</f>
        <v>0</v>
      </c>
      <c r="D4" s="46" t="str">
        <f>VLOOKUP(A4,'Project Status'!C:F,4,FALSE)</f>
        <v>17100 - Law: Business Affairs</v>
      </c>
      <c r="E4" s="46" t="str">
        <f>VLOOKUP(A4,'Project Status'!C:I,7,FALSE)</f>
        <v>Law School - Roof Ladders</v>
      </c>
      <c r="F4" s="46" t="str">
        <f>VLOOKUP(A4,'Project Status'!C:K,9,FALSE)</f>
        <v>Financial Closeout</v>
      </c>
      <c r="G4" s="46" t="str">
        <f>VLOOKUP(A4,'Project Status'!C:L,10,FALSE)</f>
        <v>Ben Bedock</v>
      </c>
      <c r="H4" s="47">
        <f>VLOOKUP(A4,'Project Status'!C:N,12,FALSE)</f>
        <v>36108.160000000003</v>
      </c>
      <c r="I4" s="48">
        <f>VLOOKUP(A4,'Project Status'!C:Q,15,FALSE)</f>
        <v>32589.24</v>
      </c>
    </row>
    <row r="8" spans="1:11" x14ac:dyDescent="0.4">
      <c r="E8" s="52" t="s">
        <v>123</v>
      </c>
    </row>
    <row r="9" spans="1:11" x14ac:dyDescent="0.4">
      <c r="E9" s="39" t="s">
        <v>456</v>
      </c>
      <c r="F9" s="39" t="s">
        <v>138</v>
      </c>
      <c r="H9" s="49">
        <v>36108.160000000003</v>
      </c>
    </row>
    <row r="10" spans="1:11" x14ac:dyDescent="0.4">
      <c r="E10" s="53"/>
      <c r="H10" s="49"/>
    </row>
    <row r="12" spans="1:11" x14ac:dyDescent="0.4">
      <c r="F12" s="56"/>
      <c r="G12" s="56"/>
      <c r="H12" s="69"/>
    </row>
    <row r="18" spans="5:8" x14ac:dyDescent="0.4">
      <c r="E18" s="64" t="s">
        <v>250</v>
      </c>
      <c r="F18" s="65"/>
      <c r="G18" s="64"/>
      <c r="H18" s="66">
        <f>SUM(H9:H17)</f>
        <v>36108.160000000003</v>
      </c>
    </row>
    <row r="20" spans="5:8" x14ac:dyDescent="0.4">
      <c r="E20" s="67" t="s">
        <v>135</v>
      </c>
      <c r="F20" s="67"/>
      <c r="G20" s="67"/>
      <c r="H20" s="68">
        <f>H4-H18</f>
        <v>0</v>
      </c>
    </row>
  </sheetData>
  <hyperlinks>
    <hyperlink ref="K1" location="'Project Status'!A1" display="'Project Status'!A1" xr:uid="{516EBCA6-C293-45F8-B88C-8CFEF10EB76B}"/>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4C76E-B627-4FD1-98B7-2FC0ADC405F5}">
  <sheetPr>
    <tabColor theme="4"/>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5.3046875" style="39" bestFit="1" customWidth="1"/>
    <col min="3" max="3" width="6.84375" style="39" bestFit="1" customWidth="1"/>
    <col min="4" max="4" width="32.53515625" style="39" bestFit="1" customWidth="1"/>
    <col min="5" max="5" width="27.15234375" style="39" bestFit="1" customWidth="1"/>
    <col min="6" max="6" width="22.69140625" style="39" bestFit="1" customWidth="1"/>
    <col min="7" max="7" width="11.3046875" style="39" bestFit="1" customWidth="1"/>
    <col min="8" max="8" width="16.53515625" style="39" bestFit="1" customWidth="1"/>
    <col min="9" max="9" width="10.6914062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21051</v>
      </c>
      <c r="B4" s="46">
        <f>VLOOKUP(A4,'Project Status'!C:D,2,FALSE)</f>
        <v>8784</v>
      </c>
      <c r="C4" s="46" t="str">
        <f>VLOOKUP(A4,'Project Status'!C:E,3,FALSE)</f>
        <v>CP_400344</v>
      </c>
      <c r="D4" s="46" t="str">
        <f>VLOOKUP(A4,'Project Status'!C:F,4,FALSE)</f>
        <v>18200 - Basic Sciences: Office of the Dean</v>
      </c>
      <c r="E4" s="46" t="str">
        <f>VLOOKUP(A4,'Project Status'!C:I,7,FALSE)</f>
        <v>MRBIII - 5th Floor Controls</v>
      </c>
      <c r="F4" s="46" t="str">
        <f>VLOOKUP(A4,'Project Status'!C:K,9,FALSE)</f>
        <v>Programming or Planning</v>
      </c>
      <c r="G4" s="46" t="str">
        <f>VLOOKUP(A4,'Project Status'!C:L,10,FALSE)</f>
        <v>Ben Bedock</v>
      </c>
      <c r="H4" s="47">
        <f>VLOOKUP(A4,'Project Status'!C:N,12,FALSE)</f>
        <v>27500</v>
      </c>
      <c r="I4" s="48">
        <f>VLOOKUP(A4,'Project Status'!C:Q,15,FALSE)</f>
        <v>0</v>
      </c>
    </row>
    <row r="8" spans="1:11" x14ac:dyDescent="0.4">
      <c r="E8" s="52" t="s">
        <v>123</v>
      </c>
    </row>
    <row r="9" spans="1:11" x14ac:dyDescent="0.4">
      <c r="E9" s="70" t="s">
        <v>617</v>
      </c>
      <c r="F9" s="39" t="s">
        <v>138</v>
      </c>
      <c r="H9" s="49">
        <v>27500</v>
      </c>
    </row>
    <row r="10" spans="1:11" x14ac:dyDescent="0.4">
      <c r="E10" s="53"/>
      <c r="H10" s="49"/>
    </row>
    <row r="12" spans="1:11" x14ac:dyDescent="0.4">
      <c r="F12" s="56"/>
      <c r="G12" s="56"/>
      <c r="H12" s="69"/>
    </row>
    <row r="18" spans="5:8" x14ac:dyDescent="0.4">
      <c r="E18" s="64" t="s">
        <v>250</v>
      </c>
      <c r="F18" s="65"/>
      <c r="G18" s="64"/>
      <c r="H18" s="66">
        <f>SUM(H9:H17)</f>
        <v>27500</v>
      </c>
    </row>
    <row r="20" spans="5:8" x14ac:dyDescent="0.4">
      <c r="E20" s="67" t="s">
        <v>135</v>
      </c>
      <c r="F20" s="67"/>
      <c r="G20" s="67"/>
      <c r="H20" s="68">
        <f>H4-H18</f>
        <v>0</v>
      </c>
    </row>
  </sheetData>
  <hyperlinks>
    <hyperlink ref="K1" location="'Project Status'!A1" display="'Project Status'!A1" xr:uid="{19BC155A-F21B-4DBE-A208-AF5FDF774664}"/>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511ED-CAE3-4638-8009-345CC5098470}">
  <sheetPr>
    <tabColor theme="4"/>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4.3046875" style="39" bestFit="1" customWidth="1"/>
    <col min="3" max="3" width="10.69140625" style="39" bestFit="1" customWidth="1"/>
    <col min="4" max="4" width="39.3046875" style="39" bestFit="1" customWidth="1"/>
    <col min="5" max="5" width="27.15234375" style="39" bestFit="1" customWidth="1"/>
    <col min="6" max="6" width="22.69140625" style="39" bestFit="1" customWidth="1"/>
    <col min="7" max="7" width="12.15234375" style="39" bestFit="1" customWidth="1"/>
    <col min="8" max="8" width="16.53515625" style="39" bestFit="1" customWidth="1"/>
    <col min="9" max="9" width="11.6914062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21066</v>
      </c>
      <c r="B4" s="46">
        <f>VLOOKUP(A4,'Project Status'!C:D,2,FALSE)</f>
        <v>0</v>
      </c>
      <c r="C4" s="46" t="str">
        <f>VLOOKUP(A4,'Project Status'!C:E,3,FALSE)</f>
        <v>CP_400314</v>
      </c>
      <c r="D4" s="46" t="str">
        <f>VLOOKUP(A4,'Project Status'!C:F,4,FALSE)</f>
        <v>12000 - Arts and Science: Office of the Dean</v>
      </c>
      <c r="E4" s="46" t="str">
        <f>VLOOKUP(A4,'Project Status'!C:I,7,FALSE)</f>
        <v>SC2 - MEP Feasibility Study</v>
      </c>
      <c r="F4" s="46" t="str">
        <f>VLOOKUP(A4,'Project Status'!C:K,9,FALSE)</f>
        <v>Programming or Planning</v>
      </c>
      <c r="G4" s="46" t="str">
        <f>VLOOKUP(A4,'Project Status'!C:L,10,FALSE)</f>
        <v>Sean Rewers</v>
      </c>
      <c r="H4" s="47">
        <f>VLOOKUP(A4,'Project Status'!C:N,12,FALSE)</f>
        <v>29160</v>
      </c>
      <c r="I4" s="48">
        <f>VLOOKUP(A4,'Project Status'!C:Q,15,FALSE)</f>
        <v>24786</v>
      </c>
    </row>
    <row r="8" spans="1:11" x14ac:dyDescent="0.4">
      <c r="E8" s="52" t="s">
        <v>123</v>
      </c>
    </row>
    <row r="9" spans="1:11" x14ac:dyDescent="0.4">
      <c r="E9" s="53" t="s">
        <v>448</v>
      </c>
      <c r="F9" s="39" t="s">
        <v>138</v>
      </c>
      <c r="H9" s="49">
        <v>29160</v>
      </c>
    </row>
    <row r="12" spans="1:11" x14ac:dyDescent="0.4">
      <c r="F12" s="56"/>
      <c r="G12" s="56"/>
      <c r="H12" s="69"/>
    </row>
    <row r="18" spans="5:8" x14ac:dyDescent="0.4">
      <c r="E18" s="64" t="s">
        <v>250</v>
      </c>
      <c r="F18" s="65"/>
      <c r="G18" s="64"/>
      <c r="H18" s="66">
        <f>SUM(H9:H17)</f>
        <v>29160</v>
      </c>
    </row>
    <row r="20" spans="5:8" x14ac:dyDescent="0.4">
      <c r="E20" s="67" t="s">
        <v>135</v>
      </c>
      <c r="F20" s="67"/>
      <c r="G20" s="67"/>
      <c r="H20" s="68">
        <f>H4-H18</f>
        <v>0</v>
      </c>
    </row>
  </sheetData>
  <hyperlinks>
    <hyperlink ref="K1" location="'Project Status'!A1" display="'Project Status'!A1" xr:uid="{E5DF42AB-DD06-4A05-A057-D4B39533A438}"/>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B74B8-6F9B-45D8-97EB-9703684904F1}">
  <sheetPr>
    <tabColor theme="4"/>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4.3046875" style="39" bestFit="1" customWidth="1"/>
    <col min="3" max="3" width="10.69140625" style="39" bestFit="1" customWidth="1"/>
    <col min="4" max="4" width="31.3046875" style="39" bestFit="1" customWidth="1"/>
    <col min="5" max="5" width="57.3046875" style="39" bestFit="1" customWidth="1"/>
    <col min="6" max="6" width="7.3828125" style="39" bestFit="1" customWidth="1"/>
    <col min="7" max="7" width="12.15234375" style="39" bestFit="1" customWidth="1"/>
    <col min="8" max="8" width="16.53515625" style="39" bestFit="1" customWidth="1"/>
    <col min="9" max="9" width="11.76562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21067</v>
      </c>
      <c r="B4" s="46">
        <f>VLOOKUP(A4,'Project Status'!C:D,2,FALSE)</f>
        <v>0</v>
      </c>
      <c r="C4" s="46" t="str">
        <f>VLOOKUP(A4,'Project Status'!C:E,3,FALSE)</f>
        <v>CP_400311</v>
      </c>
      <c r="D4" s="46" t="str">
        <f>VLOOKUP(A4,'Project Status'!C:F,4,FALSE)</f>
        <v>19000 - Nursing: Office of the Dean</v>
      </c>
      <c r="E4" s="46" t="str">
        <f>VLOOKUP(A4,'Project Status'!C:I,7,FALSE)</f>
        <v>Godchaux Hall - Phase 2 HVAC Upgrades and Roof Replacement</v>
      </c>
      <c r="F4" s="46" t="str">
        <f>VLOOKUP(A4,'Project Status'!C:K,9,FALSE)</f>
        <v>Bidding</v>
      </c>
      <c r="G4" s="46" t="str">
        <f>VLOOKUP(A4,'Project Status'!C:L,10,FALSE)</f>
        <v>Sean Rewers</v>
      </c>
      <c r="H4" s="47">
        <f>VLOOKUP(A4,'Project Status'!C:N,12,FALSE)</f>
        <v>46600</v>
      </c>
      <c r="I4" s="48">
        <f>VLOOKUP(A4,'Project Status'!C:Q,15,FALSE)</f>
        <v>22810</v>
      </c>
    </row>
    <row r="8" spans="1:11" x14ac:dyDescent="0.4">
      <c r="E8" s="52" t="s">
        <v>123</v>
      </c>
    </row>
    <row r="9" spans="1:11" x14ac:dyDescent="0.4">
      <c r="E9" s="53" t="s">
        <v>448</v>
      </c>
      <c r="F9" s="39" t="s">
        <v>138</v>
      </c>
      <c r="H9" s="49">
        <v>33600</v>
      </c>
    </row>
    <row r="10" spans="1:11" x14ac:dyDescent="0.4">
      <c r="E10" s="53" t="s">
        <v>448</v>
      </c>
      <c r="F10" s="39" t="s">
        <v>203</v>
      </c>
      <c r="H10" s="49">
        <v>13000</v>
      </c>
    </row>
    <row r="12" spans="1:11" x14ac:dyDescent="0.4">
      <c r="F12" s="56"/>
      <c r="G12" s="56"/>
      <c r="H12" s="69"/>
    </row>
    <row r="18" spans="5:8" x14ac:dyDescent="0.4">
      <c r="E18" s="64" t="s">
        <v>250</v>
      </c>
      <c r="F18" s="65"/>
      <c r="G18" s="64"/>
      <c r="H18" s="66">
        <f>SUM(H9:H17)</f>
        <v>46600</v>
      </c>
    </row>
    <row r="20" spans="5:8" x14ac:dyDescent="0.4">
      <c r="E20" s="67" t="s">
        <v>135</v>
      </c>
      <c r="F20" s="67"/>
      <c r="G20" s="67"/>
      <c r="H20" s="68">
        <f>H4-H18</f>
        <v>0</v>
      </c>
    </row>
  </sheetData>
  <hyperlinks>
    <hyperlink ref="K1" location="'Project Status'!A1" display="'Project Status'!A1" xr:uid="{3BF4C976-BA8B-4F53-B29A-9B27AEA8400B}"/>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D95E6-B7B4-4322-8089-1FF46645A3B2}">
  <sheetPr>
    <tabColor rgb="FFFFFF93"/>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4.3046875" style="39" bestFit="1" customWidth="1"/>
    <col min="3" max="3" width="6.84375" style="39" bestFit="1" customWidth="1"/>
    <col min="4" max="4" width="39.3046875" style="39" bestFit="1" customWidth="1"/>
    <col min="5" max="5" width="34" style="39" bestFit="1" customWidth="1"/>
    <col min="6" max="6" width="20.69140625" style="39" bestFit="1" customWidth="1"/>
    <col min="7" max="7" width="13.69140625" style="39" bestFit="1" customWidth="1"/>
    <col min="8" max="8" width="16.53515625" style="39" bestFit="1" customWidth="1"/>
    <col min="9" max="9" width="11.6914062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21068</v>
      </c>
      <c r="B4" s="46">
        <f>VLOOKUP(A4,'Project Status'!C:D,2,FALSE)</f>
        <v>0</v>
      </c>
      <c r="C4" s="46">
        <f>VLOOKUP(A4,'Project Status'!C:E,3,FALSE)</f>
        <v>0</v>
      </c>
      <c r="D4" s="46" t="str">
        <f>VLOOKUP(A4,'Project Status'!C:F,4,FALSE)</f>
        <v>12000 - Arts and Science: Office of the Dean</v>
      </c>
      <c r="E4" s="46" t="str">
        <f>VLOOKUP(A4,'Project Status'!C:I,7,FALSE)</f>
        <v>Buttrick Hall - Insulate First Floor Slab</v>
      </c>
      <c r="F4" s="46" t="str">
        <f>VLOOKUP(A4,'Project Status'!C:K,9,FALSE)</f>
        <v>Construction Closeout</v>
      </c>
      <c r="G4" s="46" t="str">
        <f>VLOOKUP(A4,'Project Status'!C:L,10,FALSE)</f>
        <v>Jay Surprenant</v>
      </c>
      <c r="H4" s="47">
        <f>VLOOKUP(A4,'Project Status'!C:N,12,FALSE)</f>
        <v>34837.4</v>
      </c>
      <c r="I4" s="48">
        <f>VLOOKUP(A4,'Project Status'!C:Q,15,FALSE)</f>
        <v>24737.4</v>
      </c>
    </row>
    <row r="8" spans="1:11" x14ac:dyDescent="0.4">
      <c r="E8" s="52" t="s">
        <v>123</v>
      </c>
    </row>
    <row r="9" spans="1:11" x14ac:dyDescent="0.4">
      <c r="E9" s="53" t="s">
        <v>448</v>
      </c>
      <c r="F9" s="39" t="s">
        <v>138</v>
      </c>
      <c r="H9" s="49">
        <v>34837.4</v>
      </c>
    </row>
    <row r="12" spans="1:11" x14ac:dyDescent="0.4">
      <c r="F12" s="56"/>
      <c r="G12" s="56"/>
      <c r="H12" s="69"/>
    </row>
    <row r="18" spans="5:8" x14ac:dyDescent="0.4">
      <c r="E18" s="64" t="s">
        <v>250</v>
      </c>
      <c r="F18" s="65"/>
      <c r="G18" s="64"/>
      <c r="H18" s="66">
        <f>SUM(H9:H17)</f>
        <v>34837.4</v>
      </c>
    </row>
    <row r="20" spans="5:8" x14ac:dyDescent="0.4">
      <c r="E20" s="67" t="s">
        <v>135</v>
      </c>
      <c r="F20" s="67"/>
      <c r="G20" s="67"/>
      <c r="H20" s="68">
        <f>H4-H18</f>
        <v>0</v>
      </c>
    </row>
  </sheetData>
  <hyperlinks>
    <hyperlink ref="K1" location="'Project Status'!A1" display="'Project Status'!A1" xr:uid="{1A7B922E-2AA3-4C1D-83F3-591EBBECBECC}"/>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EC676-49ED-4E53-AD35-1110DB99DE00}">
  <sheetPr>
    <tabColor rgb="FFFFFF93"/>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5.3046875" style="39" bestFit="1" customWidth="1"/>
    <col min="3" max="3" width="6.84375" style="39" bestFit="1" customWidth="1"/>
    <col min="4" max="4" width="34.69140625" style="39" bestFit="1" customWidth="1"/>
    <col min="5" max="5" width="31.69140625" style="39" bestFit="1" customWidth="1"/>
    <col min="6" max="6" width="17.3046875" style="39" bestFit="1" customWidth="1"/>
    <col min="7" max="7" width="11.3046875" style="39" bestFit="1" customWidth="1"/>
    <col min="8" max="8" width="16.53515625" style="39" bestFit="1" customWidth="1"/>
    <col min="9" max="9" width="12.8437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21070</v>
      </c>
      <c r="B4" s="46">
        <f>VLOOKUP(A4,'Project Status'!C:D,2,FALSE)</f>
        <v>8733</v>
      </c>
      <c r="C4" s="46">
        <f>VLOOKUP(A4,'Project Status'!C:E,3,FALSE)</f>
        <v>0</v>
      </c>
      <c r="D4" s="46" t="str">
        <f>VLOOKUP(A4,'Project Status'!C:F,4,FALSE)</f>
        <v>15000 - Engineering: Office of the Dean</v>
      </c>
      <c r="E4" s="46" t="str">
        <f>VLOOKUP(A4,'Project Status'!C:I,7,FALSE)</f>
        <v>Olin Hall - Exterior Facade Cleaning</v>
      </c>
      <c r="F4" s="46" t="str">
        <f>VLOOKUP(A4,'Project Status'!C:K,9,FALSE)</f>
        <v>Financial Closeout</v>
      </c>
      <c r="G4" s="46" t="str">
        <f>VLOOKUP(A4,'Project Status'!C:L,10,FALSE)</f>
        <v>Ben Bedock</v>
      </c>
      <c r="H4" s="47">
        <f>VLOOKUP(A4,'Project Status'!C:N,12,FALSE)</f>
        <v>392042.1</v>
      </c>
      <c r="I4" s="48">
        <f>VLOOKUP(A4,'Project Status'!C:Q,15,FALSE)</f>
        <v>308101</v>
      </c>
    </row>
    <row r="8" spans="1:11" x14ac:dyDescent="0.4">
      <c r="E8" s="52" t="s">
        <v>123</v>
      </c>
    </row>
    <row r="9" spans="1:11" x14ac:dyDescent="0.4">
      <c r="E9" s="53" t="s">
        <v>451</v>
      </c>
      <c r="F9" s="39" t="s">
        <v>138</v>
      </c>
      <c r="H9" s="49">
        <v>392042.1</v>
      </c>
    </row>
    <row r="12" spans="1:11" x14ac:dyDescent="0.4">
      <c r="F12" s="56"/>
      <c r="G12" s="56"/>
      <c r="H12" s="69"/>
    </row>
    <row r="18" spans="5:8" x14ac:dyDescent="0.4">
      <c r="E18" s="64" t="s">
        <v>250</v>
      </c>
      <c r="F18" s="65"/>
      <c r="G18" s="64"/>
      <c r="H18" s="66">
        <f>SUM(H9:H17)</f>
        <v>392042.1</v>
      </c>
    </row>
    <row r="20" spans="5:8" x14ac:dyDescent="0.4">
      <c r="E20" s="67" t="s">
        <v>135</v>
      </c>
      <c r="F20" s="67"/>
      <c r="G20" s="67"/>
      <c r="H20" s="68">
        <f>H4-H18</f>
        <v>0</v>
      </c>
    </row>
  </sheetData>
  <hyperlinks>
    <hyperlink ref="K1" location="'Project Status'!A1" display="'Project Status'!A1" xr:uid="{A1341063-FEAD-4CA2-870F-F3AAA50F72E9}"/>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B8718-5D44-4EAF-A635-087998BD9278}">
  <sheetPr>
    <tabColor theme="7" tint="-0.499984740745262"/>
  </sheetPr>
  <dimension ref="A1:Z109"/>
  <sheetViews>
    <sheetView zoomScale="90" zoomScaleNormal="90" workbookViewId="0">
      <pane ySplit="3" topLeftCell="A73" activePane="bottomLeft" state="frozen"/>
      <selection activeCell="D92" sqref="D92"/>
      <selection pane="bottomLeft" activeCell="A3" sqref="A3"/>
    </sheetView>
  </sheetViews>
  <sheetFormatPr defaultColWidth="9.15234375" defaultRowHeight="14.6" outlineLevelRow="1" outlineLevelCol="1" x14ac:dyDescent="0.4"/>
  <cols>
    <col min="1" max="1" width="4.53515625" style="96" customWidth="1"/>
    <col min="2" max="2" width="11.69140625" style="96" hidden="1" customWidth="1" outlineLevel="1"/>
    <col min="3" max="3" width="8.53515625" style="96" customWidth="1" collapsed="1"/>
    <col min="4" max="4" width="6.69140625" style="96" hidden="1" customWidth="1" outlineLevel="1"/>
    <col min="5" max="5" width="11.3046875" style="96" hidden="1" customWidth="1" outlineLevel="1"/>
    <col min="6" max="6" width="56.53515625" style="96" hidden="1" customWidth="1" outlineLevel="1"/>
    <col min="7" max="7" width="17.3046875" style="96" hidden="1" customWidth="1" outlineLevel="1"/>
    <col min="8" max="8" width="28" style="96" hidden="1" customWidth="1" outlineLevel="1"/>
    <col min="9" max="9" width="62.84375" style="96" bestFit="1" customWidth="1" collapsed="1"/>
    <col min="10" max="10" width="17.15234375" style="96" hidden="1" customWidth="1" outlineLevel="1"/>
    <col min="11" max="11" width="32.69140625" style="96" bestFit="1" customWidth="1" collapsed="1"/>
    <col min="12" max="12" width="17.69140625" style="96" bestFit="1" customWidth="1"/>
    <col min="13" max="13" width="13.84375" style="97" customWidth="1"/>
    <col min="14" max="17" width="13.84375" style="97" hidden="1" customWidth="1" outlineLevel="1"/>
    <col min="18" max="18" width="13.84375" style="97" customWidth="1" collapsed="1"/>
    <col min="19" max="20" width="13.84375" style="97" hidden="1" customWidth="1" outlineLevel="1"/>
    <col min="21" max="21" width="13.84375" style="97" customWidth="1" collapsed="1"/>
    <col min="22" max="24" width="13.84375" style="97" customWidth="1"/>
    <col min="25" max="25" width="142.3046875" style="96" customWidth="1"/>
    <col min="26" max="26" width="9.15234375" style="100"/>
    <col min="27" max="16384" width="9.15234375" style="96"/>
  </cols>
  <sheetData>
    <row r="1" spans="1:26" x14ac:dyDescent="0.4">
      <c r="A1" s="95" t="s">
        <v>620</v>
      </c>
      <c r="S1" s="98" t="s">
        <v>255</v>
      </c>
      <c r="T1" s="99" t="s">
        <v>292</v>
      </c>
      <c r="U1" s="99" t="s">
        <v>385</v>
      </c>
      <c r="V1" s="99" t="s">
        <v>580</v>
      </c>
    </row>
    <row r="2" spans="1:26" x14ac:dyDescent="0.4">
      <c r="A2" s="101"/>
      <c r="E2" s="102"/>
      <c r="F2" s="103"/>
      <c r="G2" s="103"/>
    </row>
    <row r="3" spans="1:26" s="114" customFormat="1" ht="43.75" x14ac:dyDescent="0.4">
      <c r="A3" s="104"/>
      <c r="B3" s="104" t="s">
        <v>217</v>
      </c>
      <c r="C3" s="104" t="s">
        <v>124</v>
      </c>
      <c r="D3" s="104" t="s">
        <v>125</v>
      </c>
      <c r="E3" s="104" t="s">
        <v>126</v>
      </c>
      <c r="F3" s="105" t="s">
        <v>86</v>
      </c>
      <c r="G3" s="105" t="s">
        <v>195</v>
      </c>
      <c r="H3" s="105" t="s">
        <v>113</v>
      </c>
      <c r="I3" s="105" t="s">
        <v>87</v>
      </c>
      <c r="J3" s="105" t="s">
        <v>440</v>
      </c>
      <c r="K3" s="104" t="s">
        <v>127</v>
      </c>
      <c r="L3" s="104" t="s">
        <v>128</v>
      </c>
      <c r="M3" s="106" t="s">
        <v>132</v>
      </c>
      <c r="N3" s="107" t="s">
        <v>129</v>
      </c>
      <c r="O3" s="107" t="s">
        <v>130</v>
      </c>
      <c r="P3" s="107" t="s">
        <v>131</v>
      </c>
      <c r="Q3" s="107" t="s">
        <v>212</v>
      </c>
      <c r="R3" s="108" t="s">
        <v>343</v>
      </c>
      <c r="S3" s="109" t="s">
        <v>658</v>
      </c>
      <c r="T3" s="110" t="s">
        <v>287</v>
      </c>
      <c r="U3" s="111" t="s">
        <v>384</v>
      </c>
      <c r="V3" s="112" t="s">
        <v>568</v>
      </c>
      <c r="W3" s="112" t="s">
        <v>310</v>
      </c>
      <c r="X3" s="112" t="s">
        <v>569</v>
      </c>
      <c r="Y3" s="104" t="s">
        <v>180</v>
      </c>
      <c r="Z3" s="113" t="s">
        <v>309</v>
      </c>
    </row>
    <row r="4" spans="1:26" s="130" customFormat="1" outlineLevel="1" x14ac:dyDescent="0.4">
      <c r="A4" s="115">
        <v>1</v>
      </c>
      <c r="B4" s="116" t="s">
        <v>90</v>
      </c>
      <c r="C4" s="117">
        <v>10085</v>
      </c>
      <c r="D4" s="118">
        <v>4591</v>
      </c>
      <c r="E4" s="118"/>
      <c r="F4" s="118" t="s">
        <v>28</v>
      </c>
      <c r="G4" s="119" t="str">
        <f>VLOOKUP(F4,lookup!B:C,2,FALSE)</f>
        <v>Peabody</v>
      </c>
      <c r="H4" s="118" t="s">
        <v>313</v>
      </c>
      <c r="I4" s="118" t="s">
        <v>108</v>
      </c>
      <c r="J4" s="118" t="s">
        <v>441</v>
      </c>
      <c r="K4" s="118" t="s">
        <v>295</v>
      </c>
      <c r="L4" s="118" t="s">
        <v>155</v>
      </c>
      <c r="M4" s="120">
        <v>17500</v>
      </c>
      <c r="N4" s="121">
        <v>22000</v>
      </c>
      <c r="O4" s="121">
        <v>17500</v>
      </c>
      <c r="P4" s="121">
        <v>17500</v>
      </c>
      <c r="Q4" s="121">
        <v>17500</v>
      </c>
      <c r="R4" s="122"/>
      <c r="S4" s="123">
        <f>'10085'!H18</f>
        <v>17500</v>
      </c>
      <c r="T4" s="124">
        <v>0</v>
      </c>
      <c r="U4" s="125">
        <v>0</v>
      </c>
      <c r="V4" s="126">
        <v>0</v>
      </c>
      <c r="W4" s="127">
        <v>0</v>
      </c>
      <c r="X4" s="128">
        <f>IF(W4="TBD","TBD",V4+W4)</f>
        <v>0</v>
      </c>
      <c r="Y4" s="129" t="s">
        <v>249</v>
      </c>
      <c r="Z4" s="100">
        <f>VLOOKUP(C4,'Summary_by FY'!$C$1:$C$998,1,FALSE)</f>
        <v>10085</v>
      </c>
    </row>
    <row r="5" spans="1:26" s="130" customFormat="1" outlineLevel="1" x14ac:dyDescent="0.4">
      <c r="A5" s="115">
        <f>A4+1</f>
        <v>2</v>
      </c>
      <c r="B5" s="116" t="s">
        <v>89</v>
      </c>
      <c r="C5" s="117">
        <v>10098</v>
      </c>
      <c r="D5" s="118">
        <v>1627</v>
      </c>
      <c r="E5" s="118" t="s">
        <v>109</v>
      </c>
      <c r="F5" s="118" t="s">
        <v>21</v>
      </c>
      <c r="G5" s="119" t="str">
        <f>VLOOKUP(F5,lookup!B:C,2,FALSE)</f>
        <v>School of Medicine</v>
      </c>
      <c r="H5" s="118" t="s">
        <v>146</v>
      </c>
      <c r="I5" s="118" t="s">
        <v>275</v>
      </c>
      <c r="J5" s="118" t="s">
        <v>441</v>
      </c>
      <c r="K5" s="118" t="s">
        <v>295</v>
      </c>
      <c r="L5" s="118" t="s">
        <v>150</v>
      </c>
      <c r="M5" s="120">
        <v>1216485.5</v>
      </c>
      <c r="N5" s="121">
        <v>1216485.5</v>
      </c>
      <c r="O5" s="121">
        <v>1212084.54</v>
      </c>
      <c r="P5" s="121">
        <v>1212084.54</v>
      </c>
      <c r="Q5" s="121">
        <v>1212084.54</v>
      </c>
      <c r="R5" s="122"/>
      <c r="S5" s="123">
        <f>'10098'!H9</f>
        <v>1216485.5</v>
      </c>
      <c r="T5" s="124">
        <f>'10098'!H10</f>
        <v>-4400.96</v>
      </c>
      <c r="U5" s="125">
        <v>0</v>
      </c>
      <c r="V5" s="126">
        <v>0</v>
      </c>
      <c r="W5" s="127">
        <v>0</v>
      </c>
      <c r="X5" s="128">
        <f t="shared" ref="X5:X68" si="0">IF(W5="TBD","TBD",V5+W5)</f>
        <v>0</v>
      </c>
      <c r="Y5" s="129" t="s">
        <v>302</v>
      </c>
      <c r="Z5" s="100">
        <f>VLOOKUP(C5,'Summary_by FY'!$C$1:$C$998,1,FALSE)</f>
        <v>10098</v>
      </c>
    </row>
    <row r="6" spans="1:26" s="130" customFormat="1" outlineLevel="1" x14ac:dyDescent="0.4">
      <c r="A6" s="115">
        <f t="shared" ref="A6:A69" si="1">A5+1</f>
        <v>3</v>
      </c>
      <c r="B6" s="116" t="s">
        <v>89</v>
      </c>
      <c r="C6" s="117">
        <v>10146</v>
      </c>
      <c r="D6" s="118">
        <v>8206</v>
      </c>
      <c r="E6" s="118" t="s">
        <v>173</v>
      </c>
      <c r="F6" s="118" t="s">
        <v>174</v>
      </c>
      <c r="G6" s="119" t="str">
        <f>VLOOKUP(F6,lookup!B:C,2,FALSE)</f>
        <v>School of Nursing</v>
      </c>
      <c r="H6" s="118" t="s">
        <v>316</v>
      </c>
      <c r="I6" s="118" t="s">
        <v>397</v>
      </c>
      <c r="J6" s="118" t="s">
        <v>441</v>
      </c>
      <c r="K6" s="118" t="s">
        <v>295</v>
      </c>
      <c r="L6" s="118" t="s">
        <v>155</v>
      </c>
      <c r="M6" s="120">
        <v>318000</v>
      </c>
      <c r="N6" s="121">
        <v>318057</v>
      </c>
      <c r="O6" s="121">
        <v>253826.81</v>
      </c>
      <c r="P6" s="121">
        <v>253826.81</v>
      </c>
      <c r="Q6" s="121">
        <v>253826.81</v>
      </c>
      <c r="R6" s="122"/>
      <c r="S6" s="123">
        <f>'10146'!H9</f>
        <v>4900</v>
      </c>
      <c r="T6" s="124">
        <f>'10146'!H15</f>
        <v>255957</v>
      </c>
      <c r="U6" s="125">
        <v>0</v>
      </c>
      <c r="V6" s="126">
        <f>'10146'!H17</f>
        <v>-64230.19</v>
      </c>
      <c r="W6" s="127">
        <v>0</v>
      </c>
      <c r="X6" s="128">
        <f t="shared" si="0"/>
        <v>-64230.19</v>
      </c>
      <c r="Y6" s="129" t="s">
        <v>411</v>
      </c>
      <c r="Z6" s="100">
        <f>VLOOKUP(C6,'Summary_by FY'!$C$1:$C$998,1,FALSE)</f>
        <v>10146</v>
      </c>
    </row>
    <row r="7" spans="1:26" s="130" customFormat="1" outlineLevel="1" x14ac:dyDescent="0.4">
      <c r="A7" s="115">
        <f t="shared" si="1"/>
        <v>4</v>
      </c>
      <c r="B7" s="116" t="s">
        <v>89</v>
      </c>
      <c r="C7" s="117">
        <v>20179</v>
      </c>
      <c r="D7" s="118">
        <v>36015</v>
      </c>
      <c r="E7" s="118" t="s">
        <v>104</v>
      </c>
      <c r="F7" s="118" t="s">
        <v>153</v>
      </c>
      <c r="G7" s="119" t="str">
        <f>VLOOKUP(F7,lookup!B:C,2,FALSE)</f>
        <v>Law</v>
      </c>
      <c r="H7" s="118" t="s">
        <v>258</v>
      </c>
      <c r="I7" s="118" t="s">
        <v>257</v>
      </c>
      <c r="J7" s="118" t="s">
        <v>441</v>
      </c>
      <c r="K7" s="118" t="s">
        <v>295</v>
      </c>
      <c r="L7" s="118" t="s">
        <v>154</v>
      </c>
      <c r="M7" s="120">
        <v>1445389</v>
      </c>
      <c r="N7" s="121">
        <v>1445389</v>
      </c>
      <c r="O7" s="121">
        <v>1352423.14</v>
      </c>
      <c r="P7" s="121">
        <v>1352423.14</v>
      </c>
      <c r="Q7" s="121">
        <v>1352423.14</v>
      </c>
      <c r="R7" s="122"/>
      <c r="S7" s="123">
        <f>'20179'!H9</f>
        <v>722694.5</v>
      </c>
      <c r="T7" s="124">
        <v>0</v>
      </c>
      <c r="U7" s="125">
        <f>'20179'!H11</f>
        <v>-92965.86</v>
      </c>
      <c r="V7" s="126">
        <v>0</v>
      </c>
      <c r="W7" s="127">
        <v>0</v>
      </c>
      <c r="X7" s="128">
        <f t="shared" si="0"/>
        <v>0</v>
      </c>
      <c r="Y7" s="129" t="s">
        <v>407</v>
      </c>
      <c r="Z7" s="131">
        <f>VLOOKUP(C7,'Summary_by FY'!$C$1:$C$998,1,FALSE)</f>
        <v>20179</v>
      </c>
    </row>
    <row r="8" spans="1:26" s="130" customFormat="1" outlineLevel="1" x14ac:dyDescent="0.4">
      <c r="A8" s="115">
        <f t="shared" si="1"/>
        <v>5</v>
      </c>
      <c r="B8" s="116" t="s">
        <v>89</v>
      </c>
      <c r="C8" s="117">
        <v>20336</v>
      </c>
      <c r="D8" s="118">
        <v>20075</v>
      </c>
      <c r="E8" s="118" t="s">
        <v>102</v>
      </c>
      <c r="F8" s="118" t="s">
        <v>12</v>
      </c>
      <c r="G8" s="119" t="str">
        <f>VLOOKUP(F8,lookup!B:C,2,FALSE)</f>
        <v>Blair</v>
      </c>
      <c r="H8" s="118" t="s">
        <v>149</v>
      </c>
      <c r="I8" s="118" t="s">
        <v>184</v>
      </c>
      <c r="J8" s="118" t="s">
        <v>441</v>
      </c>
      <c r="K8" s="118" t="s">
        <v>295</v>
      </c>
      <c r="L8" s="118" t="s">
        <v>148</v>
      </c>
      <c r="M8" s="120">
        <v>327890</v>
      </c>
      <c r="N8" s="121">
        <v>327890</v>
      </c>
      <c r="O8" s="121">
        <v>280600</v>
      </c>
      <c r="P8" s="121">
        <v>280600</v>
      </c>
      <c r="Q8" s="121">
        <v>280600</v>
      </c>
      <c r="R8" s="122"/>
      <c r="S8" s="123">
        <f>'20336'!H9+'20336'!H10+'20336'!H11</f>
        <v>327890</v>
      </c>
      <c r="T8" s="124">
        <f>'20336'!H12</f>
        <v>-47290</v>
      </c>
      <c r="U8" s="132">
        <v>0</v>
      </c>
      <c r="V8" s="126">
        <v>0</v>
      </c>
      <c r="W8" s="127">
        <v>0</v>
      </c>
      <c r="X8" s="128">
        <f t="shared" si="0"/>
        <v>0</v>
      </c>
      <c r="Y8" s="129" t="s">
        <v>336</v>
      </c>
      <c r="Z8" s="100">
        <f>VLOOKUP(C8,'Summary_by FY'!$C$1:$C$998,1,FALSE)</f>
        <v>20336</v>
      </c>
    </row>
    <row r="9" spans="1:26" s="143" customFormat="1" x14ac:dyDescent="0.4">
      <c r="A9" s="133">
        <f t="shared" si="1"/>
        <v>6</v>
      </c>
      <c r="B9" s="134" t="s">
        <v>89</v>
      </c>
      <c r="C9" s="135">
        <v>20431</v>
      </c>
      <c r="D9" s="136">
        <v>8084</v>
      </c>
      <c r="E9" s="136" t="s">
        <v>103</v>
      </c>
      <c r="F9" s="136" t="s">
        <v>14</v>
      </c>
      <c r="G9" s="137" t="str">
        <f>VLOOKUP(F9,lookup!B:C,2,FALSE)</f>
        <v>Divinity</v>
      </c>
      <c r="H9" s="136" t="s">
        <v>151</v>
      </c>
      <c r="I9" s="136" t="s">
        <v>317</v>
      </c>
      <c r="J9" s="136" t="s">
        <v>430</v>
      </c>
      <c r="K9" s="136" t="s">
        <v>276</v>
      </c>
      <c r="L9" s="136" t="s">
        <v>150</v>
      </c>
      <c r="M9" s="138">
        <v>3800000</v>
      </c>
      <c r="N9" s="139">
        <v>3800000</v>
      </c>
      <c r="O9" s="139">
        <v>3635005.72</v>
      </c>
      <c r="P9" s="139">
        <v>3635005.72</v>
      </c>
      <c r="Q9" s="139">
        <v>3542129.41</v>
      </c>
      <c r="R9" s="140">
        <v>164994.28</v>
      </c>
      <c r="S9" s="141">
        <f>'20431'!H10+'20431'!H11+'20431'!H13</f>
        <v>69862.5</v>
      </c>
      <c r="T9" s="142">
        <f>'20431'!H15</f>
        <v>3660360</v>
      </c>
      <c r="U9" s="132">
        <v>0</v>
      </c>
      <c r="V9" s="127">
        <v>0</v>
      </c>
      <c r="W9" s="127">
        <v>0</v>
      </c>
      <c r="X9" s="128">
        <f t="shared" si="0"/>
        <v>0</v>
      </c>
      <c r="Y9" s="39" t="s">
        <v>599</v>
      </c>
      <c r="Z9" s="100">
        <f>VLOOKUP(C9,'Summary_by FY'!$C$1:$C$998,1,FALSE)</f>
        <v>20431</v>
      </c>
    </row>
    <row r="10" spans="1:26" s="143" customFormat="1" x14ac:dyDescent="0.4">
      <c r="A10" s="133">
        <f t="shared" si="1"/>
        <v>7</v>
      </c>
      <c r="B10" s="134" t="s">
        <v>89</v>
      </c>
      <c r="C10" s="135">
        <v>20478</v>
      </c>
      <c r="D10" s="136">
        <v>8672</v>
      </c>
      <c r="E10" s="136" t="s">
        <v>220</v>
      </c>
      <c r="F10" s="136" t="s">
        <v>10</v>
      </c>
      <c r="G10" s="137" t="str">
        <f>VLOOKUP(F10,lookup!B:C,2,FALSE)</f>
        <v>Arts &amp; Science</v>
      </c>
      <c r="H10" s="136" t="s">
        <v>229</v>
      </c>
      <c r="I10" s="136" t="s">
        <v>221</v>
      </c>
      <c r="J10" s="136" t="s">
        <v>430</v>
      </c>
      <c r="K10" s="136" t="s">
        <v>276</v>
      </c>
      <c r="L10" s="136" t="s">
        <v>222</v>
      </c>
      <c r="M10" s="138">
        <v>2790000</v>
      </c>
      <c r="N10" s="139">
        <v>2790000</v>
      </c>
      <c r="O10" s="139">
        <v>2702930.48</v>
      </c>
      <c r="P10" s="139">
        <v>2702930.48</v>
      </c>
      <c r="Q10" s="139">
        <v>2652824.48</v>
      </c>
      <c r="R10" s="140">
        <v>0</v>
      </c>
      <c r="S10" s="141">
        <f>'20478'!H9+'20478'!H11</f>
        <v>81100</v>
      </c>
      <c r="T10" s="142">
        <f>'20478'!H13</f>
        <v>1028900</v>
      </c>
      <c r="U10" s="132">
        <v>0</v>
      </c>
      <c r="V10" s="127">
        <v>0</v>
      </c>
      <c r="W10" s="127">
        <v>0</v>
      </c>
      <c r="X10" s="128">
        <f t="shared" si="0"/>
        <v>0</v>
      </c>
      <c r="Y10" s="39" t="s">
        <v>600</v>
      </c>
      <c r="Z10" s="100">
        <f>VLOOKUP(C10,'Summary_by FY'!$C$1:$C$998,1,FALSE)</f>
        <v>20478</v>
      </c>
    </row>
    <row r="11" spans="1:26" s="143" customFormat="1" x14ac:dyDescent="0.4">
      <c r="A11" s="133">
        <f t="shared" si="1"/>
        <v>8</v>
      </c>
      <c r="B11" s="134" t="s">
        <v>89</v>
      </c>
      <c r="C11" s="135">
        <v>20489</v>
      </c>
      <c r="D11" s="136">
        <v>8051</v>
      </c>
      <c r="E11" s="136" t="s">
        <v>223</v>
      </c>
      <c r="F11" s="136" t="s">
        <v>14</v>
      </c>
      <c r="G11" s="137" t="str">
        <f>VLOOKUP(F11,lookup!B:C,2,FALSE)</f>
        <v>Divinity</v>
      </c>
      <c r="H11" s="136" t="s">
        <v>151</v>
      </c>
      <c r="I11" s="136" t="s">
        <v>368</v>
      </c>
      <c r="J11" s="136" t="s">
        <v>430</v>
      </c>
      <c r="K11" s="136" t="s">
        <v>101</v>
      </c>
      <c r="L11" s="136" t="s">
        <v>301</v>
      </c>
      <c r="M11" s="138">
        <v>3600000</v>
      </c>
      <c r="N11" s="139">
        <v>3600000</v>
      </c>
      <c r="O11" s="139">
        <v>3287611.86</v>
      </c>
      <c r="P11" s="139">
        <v>3287611.86</v>
      </c>
      <c r="Q11" s="139">
        <v>194523.21</v>
      </c>
      <c r="R11" s="140"/>
      <c r="S11" s="141">
        <f>'20489'!H9</f>
        <v>26500</v>
      </c>
      <c r="T11" s="142">
        <v>0</v>
      </c>
      <c r="U11" s="132">
        <f>'20489'!H10</f>
        <v>304500</v>
      </c>
      <c r="V11" s="127">
        <f>'20489'!H11</f>
        <v>2369000</v>
      </c>
      <c r="W11" s="127">
        <v>0</v>
      </c>
      <c r="X11" s="128">
        <f t="shared" si="0"/>
        <v>2369000</v>
      </c>
      <c r="Y11" s="136" t="s">
        <v>629</v>
      </c>
      <c r="Z11" s="100">
        <f>VLOOKUP(C11,'Summary_by FY'!$C$1:$C$998,1,FALSE)</f>
        <v>20489</v>
      </c>
    </row>
    <row r="12" spans="1:26" s="130" customFormat="1" outlineLevel="1" x14ac:dyDescent="0.4">
      <c r="A12" s="115">
        <f t="shared" si="1"/>
        <v>9</v>
      </c>
      <c r="B12" s="116" t="s">
        <v>89</v>
      </c>
      <c r="C12" s="117">
        <v>20497</v>
      </c>
      <c r="D12" s="118">
        <v>529</v>
      </c>
      <c r="E12" s="118" t="s">
        <v>106</v>
      </c>
      <c r="F12" s="118" t="s">
        <v>28</v>
      </c>
      <c r="G12" s="119" t="str">
        <f>VLOOKUP(F12,lookup!B:C,2,FALSE)</f>
        <v>Peabody</v>
      </c>
      <c r="H12" s="118" t="s">
        <v>152</v>
      </c>
      <c r="I12" s="118" t="s">
        <v>105</v>
      </c>
      <c r="J12" s="118" t="s">
        <v>441</v>
      </c>
      <c r="K12" s="118" t="s">
        <v>295</v>
      </c>
      <c r="L12" s="118" t="s">
        <v>148</v>
      </c>
      <c r="M12" s="120">
        <v>456850</v>
      </c>
      <c r="N12" s="121">
        <v>456850</v>
      </c>
      <c r="O12" s="121">
        <v>412000</v>
      </c>
      <c r="P12" s="121">
        <v>412000</v>
      </c>
      <c r="Q12" s="121">
        <v>412000</v>
      </c>
      <c r="R12" s="122"/>
      <c r="S12" s="123">
        <f>'20497'!H9</f>
        <v>79415.5</v>
      </c>
      <c r="T12" s="124">
        <f>'20497'!H11</f>
        <v>-44850</v>
      </c>
      <c r="U12" s="132">
        <v>0</v>
      </c>
      <c r="V12" s="126">
        <v>0</v>
      </c>
      <c r="W12" s="126">
        <v>0</v>
      </c>
      <c r="X12" s="128">
        <f t="shared" si="0"/>
        <v>0</v>
      </c>
      <c r="Y12" s="136" t="s">
        <v>307</v>
      </c>
      <c r="Z12" s="100">
        <f>VLOOKUP(C12,'Summary_by FY'!$C$1:$C$998,1,FALSE)</f>
        <v>20497</v>
      </c>
    </row>
    <row r="13" spans="1:26" s="130" customFormat="1" outlineLevel="1" x14ac:dyDescent="0.4">
      <c r="A13" s="115">
        <f t="shared" si="1"/>
        <v>10</v>
      </c>
      <c r="B13" s="116" t="s">
        <v>89</v>
      </c>
      <c r="C13" s="117">
        <v>20506</v>
      </c>
      <c r="D13" s="118">
        <v>1170</v>
      </c>
      <c r="E13" s="118" t="s">
        <v>239</v>
      </c>
      <c r="F13" s="118" t="s">
        <v>28</v>
      </c>
      <c r="G13" s="119" t="str">
        <f>VLOOKUP(F13,lookup!B:C,2,FALSE)</f>
        <v>Peabody</v>
      </c>
      <c r="H13" s="118" t="s">
        <v>159</v>
      </c>
      <c r="I13" s="118" t="s">
        <v>227</v>
      </c>
      <c r="J13" s="118" t="s">
        <v>441</v>
      </c>
      <c r="K13" s="118" t="s">
        <v>295</v>
      </c>
      <c r="L13" s="118" t="s">
        <v>148</v>
      </c>
      <c r="M13" s="120">
        <v>344155.26</v>
      </c>
      <c r="N13" s="121">
        <v>344155.26</v>
      </c>
      <c r="O13" s="121">
        <v>307776.26</v>
      </c>
      <c r="P13" s="121">
        <v>307776.26</v>
      </c>
      <c r="Q13" s="121">
        <v>307776.26</v>
      </c>
      <c r="R13" s="122"/>
      <c r="S13" s="123">
        <f>'20506'!H9</f>
        <v>344155.26</v>
      </c>
      <c r="T13" s="124">
        <f>'20506'!H10</f>
        <v>-36379</v>
      </c>
      <c r="U13" s="132">
        <v>0</v>
      </c>
      <c r="V13" s="126">
        <v>0</v>
      </c>
      <c r="W13" s="126">
        <v>0</v>
      </c>
      <c r="X13" s="128">
        <f t="shared" si="0"/>
        <v>0</v>
      </c>
      <c r="Y13" s="136" t="s">
        <v>307</v>
      </c>
      <c r="Z13" s="100">
        <f>VLOOKUP(C13,'Summary_by FY'!$C$1:$C$998,1,FALSE)</f>
        <v>20506</v>
      </c>
    </row>
    <row r="14" spans="1:26" s="143" customFormat="1" x14ac:dyDescent="0.4">
      <c r="A14" s="133">
        <f t="shared" si="1"/>
        <v>11</v>
      </c>
      <c r="B14" s="134" t="s">
        <v>89</v>
      </c>
      <c r="C14" s="136">
        <v>20560</v>
      </c>
      <c r="D14" s="136">
        <v>4602</v>
      </c>
      <c r="E14" s="136"/>
      <c r="F14" s="136" t="s">
        <v>586</v>
      </c>
      <c r="G14" s="137" t="str">
        <f>VLOOKUP(F14,lookup!B:C,2,FALSE)</f>
        <v>Law</v>
      </c>
      <c r="H14" s="136" t="s">
        <v>258</v>
      </c>
      <c r="I14" s="136" t="s">
        <v>559</v>
      </c>
      <c r="J14" s="136" t="s">
        <v>442</v>
      </c>
      <c r="K14" s="136" t="s">
        <v>100</v>
      </c>
      <c r="L14" s="136" t="s">
        <v>155</v>
      </c>
      <c r="M14" s="138">
        <v>905610</v>
      </c>
      <c r="N14" s="139">
        <v>0</v>
      </c>
      <c r="O14" s="139">
        <v>0</v>
      </c>
      <c r="P14" s="139">
        <v>0</v>
      </c>
      <c r="Q14" s="139">
        <v>0</v>
      </c>
      <c r="R14" s="140"/>
      <c r="S14" s="141"/>
      <c r="T14" s="142"/>
      <c r="U14" s="132"/>
      <c r="V14" s="127"/>
      <c r="W14" s="144">
        <v>0</v>
      </c>
      <c r="X14" s="128">
        <f t="shared" si="0"/>
        <v>0</v>
      </c>
      <c r="Y14" s="39" t="s">
        <v>560</v>
      </c>
      <c r="Z14" s="100">
        <f>VLOOKUP(C14,'Summary_by FY'!$C$1:$C$998,1,FALSE)</f>
        <v>20560</v>
      </c>
    </row>
    <row r="15" spans="1:26" s="130" customFormat="1" outlineLevel="1" x14ac:dyDescent="0.4">
      <c r="A15" s="115">
        <f t="shared" si="1"/>
        <v>12</v>
      </c>
      <c r="B15" s="116" t="s">
        <v>89</v>
      </c>
      <c r="C15" s="117">
        <v>20562</v>
      </c>
      <c r="D15" s="118">
        <v>4564</v>
      </c>
      <c r="E15" s="118" t="s">
        <v>216</v>
      </c>
      <c r="F15" s="118" t="s">
        <v>28</v>
      </c>
      <c r="G15" s="119" t="str">
        <f>VLOOKUP(F15,lookup!B:C,2,FALSE)</f>
        <v>Peabody</v>
      </c>
      <c r="H15" s="118" t="s">
        <v>159</v>
      </c>
      <c r="I15" s="118" t="s">
        <v>107</v>
      </c>
      <c r="J15" s="118" t="s">
        <v>441</v>
      </c>
      <c r="K15" s="118" t="s">
        <v>295</v>
      </c>
      <c r="L15" s="118" t="s">
        <v>155</v>
      </c>
      <c r="M15" s="120">
        <v>400000</v>
      </c>
      <c r="N15" s="121">
        <v>405791</v>
      </c>
      <c r="O15" s="121">
        <v>362559.64</v>
      </c>
      <c r="P15" s="121">
        <v>362559.64</v>
      </c>
      <c r="Q15" s="121">
        <v>362559.64</v>
      </c>
      <c r="R15" s="122"/>
      <c r="S15" s="123">
        <f>'20562'!H9</f>
        <v>405791</v>
      </c>
      <c r="T15" s="124">
        <f>'20562'!H10</f>
        <v>-43231.360000000001</v>
      </c>
      <c r="U15" s="132">
        <v>0</v>
      </c>
      <c r="V15" s="126">
        <v>0</v>
      </c>
      <c r="W15" s="126">
        <v>0</v>
      </c>
      <c r="X15" s="128">
        <f t="shared" si="0"/>
        <v>0</v>
      </c>
      <c r="Y15" s="136" t="s">
        <v>337</v>
      </c>
      <c r="Z15" s="100">
        <f>VLOOKUP(C15,'Summary_by FY'!$C$1:$C$998,1,FALSE)</f>
        <v>20562</v>
      </c>
    </row>
    <row r="16" spans="1:26" s="143" customFormat="1" x14ac:dyDescent="0.4">
      <c r="A16" s="133">
        <f t="shared" si="1"/>
        <v>13</v>
      </c>
      <c r="B16" s="134" t="s">
        <v>89</v>
      </c>
      <c r="C16" s="136">
        <v>20563</v>
      </c>
      <c r="D16" s="136">
        <v>4624</v>
      </c>
      <c r="E16" s="136"/>
      <c r="F16" s="136" t="s">
        <v>15</v>
      </c>
      <c r="G16" s="137" t="str">
        <f>VLOOKUP(F16,lookup!B:C,2,FALSE)</f>
        <v>Engineering</v>
      </c>
      <c r="H16" s="136" t="s">
        <v>160</v>
      </c>
      <c r="I16" s="136" t="s">
        <v>253</v>
      </c>
      <c r="J16" s="136" t="s">
        <v>442</v>
      </c>
      <c r="K16" s="136" t="s">
        <v>246</v>
      </c>
      <c r="L16" s="136" t="s">
        <v>148</v>
      </c>
      <c r="M16" s="138">
        <v>386000</v>
      </c>
      <c r="N16" s="139">
        <v>0</v>
      </c>
      <c r="O16" s="139">
        <v>0</v>
      </c>
      <c r="P16" s="139">
        <v>0</v>
      </c>
      <c r="Q16" s="139">
        <v>0</v>
      </c>
      <c r="R16" s="140"/>
      <c r="S16" s="141">
        <v>0</v>
      </c>
      <c r="T16" s="142">
        <v>0</v>
      </c>
      <c r="U16" s="132">
        <v>0</v>
      </c>
      <c r="V16" s="127">
        <v>0</v>
      </c>
      <c r="W16" s="127">
        <v>0</v>
      </c>
      <c r="X16" s="128">
        <f t="shared" si="0"/>
        <v>0</v>
      </c>
      <c r="Y16" s="136" t="s">
        <v>408</v>
      </c>
      <c r="Z16" s="100">
        <f>VLOOKUP(C16,'Summary_by FY'!$C$1:$C$998,1,FALSE)</f>
        <v>20563</v>
      </c>
    </row>
    <row r="17" spans="1:26" s="130" customFormat="1" outlineLevel="1" x14ac:dyDescent="0.4">
      <c r="A17" s="115">
        <f t="shared" si="1"/>
        <v>14</v>
      </c>
      <c r="B17" s="116" t="s">
        <v>89</v>
      </c>
      <c r="C17" s="117">
        <v>20566</v>
      </c>
      <c r="D17" s="118">
        <v>20054</v>
      </c>
      <c r="E17" s="118" t="s">
        <v>157</v>
      </c>
      <c r="F17" s="118" t="s">
        <v>10</v>
      </c>
      <c r="G17" s="119" t="str">
        <f>VLOOKUP(F17,lookup!B:C,2,FALSE)</f>
        <v>Arts &amp; Science</v>
      </c>
      <c r="H17" s="118" t="s">
        <v>158</v>
      </c>
      <c r="I17" s="118" t="s">
        <v>181</v>
      </c>
      <c r="J17" s="118" t="s">
        <v>441</v>
      </c>
      <c r="K17" s="118" t="s">
        <v>295</v>
      </c>
      <c r="L17" s="118" t="s">
        <v>148</v>
      </c>
      <c r="M17" s="120">
        <v>781870</v>
      </c>
      <c r="N17" s="121">
        <v>781870</v>
      </c>
      <c r="O17" s="121">
        <v>722586.68</v>
      </c>
      <c r="P17" s="121">
        <v>722586.68</v>
      </c>
      <c r="Q17" s="121">
        <v>722586.68</v>
      </c>
      <c r="R17" s="122"/>
      <c r="S17" s="123">
        <f>'20566'!H9+'20566'!H10</f>
        <v>781870</v>
      </c>
      <c r="T17" s="124">
        <f>'20566'!H11</f>
        <v>-59283.32</v>
      </c>
      <c r="U17" s="132">
        <v>0</v>
      </c>
      <c r="V17" s="126">
        <v>0</v>
      </c>
      <c r="W17" s="126">
        <v>0</v>
      </c>
      <c r="X17" s="128">
        <f t="shared" si="0"/>
        <v>0</v>
      </c>
      <c r="Y17" s="136" t="s">
        <v>326</v>
      </c>
      <c r="Z17" s="100">
        <f>VLOOKUP(C17,'Summary_by FY'!$C$1:$C$998,1,FALSE)</f>
        <v>20566</v>
      </c>
    </row>
    <row r="18" spans="1:26" s="130" customFormat="1" outlineLevel="1" x14ac:dyDescent="0.4">
      <c r="A18" s="115">
        <f t="shared" si="1"/>
        <v>15</v>
      </c>
      <c r="B18" s="116" t="s">
        <v>89</v>
      </c>
      <c r="C18" s="117">
        <v>20573</v>
      </c>
      <c r="D18" s="118">
        <v>8047</v>
      </c>
      <c r="E18" s="118" t="s">
        <v>224</v>
      </c>
      <c r="F18" s="118" t="s">
        <v>28</v>
      </c>
      <c r="G18" s="119" t="str">
        <f>VLOOKUP(F18,lookup!B:C,2,FALSE)</f>
        <v>Peabody</v>
      </c>
      <c r="H18" s="118" t="s">
        <v>159</v>
      </c>
      <c r="I18" s="118" t="s">
        <v>182</v>
      </c>
      <c r="J18" s="118" t="s">
        <v>441</v>
      </c>
      <c r="K18" s="118" t="s">
        <v>295</v>
      </c>
      <c r="L18" s="118" t="s">
        <v>148</v>
      </c>
      <c r="M18" s="120">
        <v>1232681</v>
      </c>
      <c r="N18" s="121">
        <v>1232681</v>
      </c>
      <c r="O18" s="121">
        <v>1113460</v>
      </c>
      <c r="P18" s="121">
        <v>1113460</v>
      </c>
      <c r="Q18" s="121">
        <v>1113460</v>
      </c>
      <c r="R18" s="122"/>
      <c r="S18" s="123">
        <f>'20573'!H9</f>
        <v>1232681</v>
      </c>
      <c r="T18" s="124">
        <f>'20573'!H10</f>
        <v>-119221</v>
      </c>
      <c r="U18" s="132">
        <v>0</v>
      </c>
      <c r="V18" s="126">
        <v>0</v>
      </c>
      <c r="W18" s="126">
        <v>0</v>
      </c>
      <c r="X18" s="128">
        <f t="shared" si="0"/>
        <v>0</v>
      </c>
      <c r="Y18" s="136" t="s">
        <v>338</v>
      </c>
      <c r="Z18" s="100">
        <f>VLOOKUP(C18,'Summary_by FY'!$C$1:$C$998,1,FALSE)</f>
        <v>20573</v>
      </c>
    </row>
    <row r="19" spans="1:26" s="130" customFormat="1" outlineLevel="1" x14ac:dyDescent="0.4">
      <c r="A19" s="115">
        <f t="shared" si="1"/>
        <v>16</v>
      </c>
      <c r="B19" s="116" t="s">
        <v>89</v>
      </c>
      <c r="C19" s="117">
        <v>20574</v>
      </c>
      <c r="D19" s="118">
        <v>8145</v>
      </c>
      <c r="E19" s="118" t="s">
        <v>206</v>
      </c>
      <c r="F19" s="118" t="s">
        <v>21</v>
      </c>
      <c r="G19" s="119" t="str">
        <f>VLOOKUP(F19,lookup!B:C,2,FALSE)</f>
        <v>School of Medicine</v>
      </c>
      <c r="H19" s="118" t="s">
        <v>146</v>
      </c>
      <c r="I19" s="118" t="s">
        <v>183</v>
      </c>
      <c r="J19" s="118" t="s">
        <v>441</v>
      </c>
      <c r="K19" s="118" t="s">
        <v>295</v>
      </c>
      <c r="L19" s="118" t="s">
        <v>155</v>
      </c>
      <c r="M19" s="120">
        <v>218202</v>
      </c>
      <c r="N19" s="121">
        <v>218202</v>
      </c>
      <c r="O19" s="121">
        <v>195665</v>
      </c>
      <c r="P19" s="121">
        <v>195665</v>
      </c>
      <c r="Q19" s="121">
        <v>195665</v>
      </c>
      <c r="R19" s="122"/>
      <c r="S19" s="123">
        <f>'20574'!H9</f>
        <v>218202</v>
      </c>
      <c r="T19" s="124">
        <f>'20574'!H10</f>
        <v>-22537</v>
      </c>
      <c r="U19" s="132">
        <v>0</v>
      </c>
      <c r="V19" s="126">
        <v>0</v>
      </c>
      <c r="W19" s="126">
        <v>0</v>
      </c>
      <c r="X19" s="128">
        <f t="shared" si="0"/>
        <v>0</v>
      </c>
      <c r="Y19" s="136" t="s">
        <v>337</v>
      </c>
      <c r="Z19" s="100">
        <f>VLOOKUP(C19,'Summary_by FY'!$C$1:$C$998,1,FALSE)</f>
        <v>20574</v>
      </c>
    </row>
    <row r="20" spans="1:26" s="143" customFormat="1" x14ac:dyDescent="0.4">
      <c r="A20" s="133">
        <f t="shared" si="1"/>
        <v>17</v>
      </c>
      <c r="B20" s="134" t="s">
        <v>89</v>
      </c>
      <c r="C20" s="135">
        <v>20577</v>
      </c>
      <c r="D20" s="136">
        <v>8146</v>
      </c>
      <c r="E20" s="136" t="s">
        <v>164</v>
      </c>
      <c r="F20" s="136" t="s">
        <v>12</v>
      </c>
      <c r="G20" s="137" t="str">
        <f>VLOOKUP(F20,lookup!B:C,2,FALSE)</f>
        <v>Blair</v>
      </c>
      <c r="H20" s="136" t="s">
        <v>149</v>
      </c>
      <c r="I20" s="136" t="s">
        <v>410</v>
      </c>
      <c r="J20" s="136" t="s">
        <v>430</v>
      </c>
      <c r="K20" s="136" t="s">
        <v>101</v>
      </c>
      <c r="L20" s="136" t="s">
        <v>301</v>
      </c>
      <c r="M20" s="138">
        <v>1300000</v>
      </c>
      <c r="N20" s="139">
        <v>1300000</v>
      </c>
      <c r="O20" s="139">
        <v>1105354.21</v>
      </c>
      <c r="P20" s="139">
        <v>1105354.21</v>
      </c>
      <c r="Q20" s="139">
        <v>1104104.21</v>
      </c>
      <c r="R20" s="140"/>
      <c r="S20" s="141">
        <f>'20577'!H9+'20577'!H10</f>
        <v>223000</v>
      </c>
      <c r="T20" s="142">
        <v>0</v>
      </c>
      <c r="U20" s="132">
        <f>'20577'!H11</f>
        <v>1077000</v>
      </c>
      <c r="V20" s="127">
        <v>0</v>
      </c>
      <c r="W20" s="127">
        <v>0</v>
      </c>
      <c r="X20" s="128">
        <f t="shared" si="0"/>
        <v>0</v>
      </c>
      <c r="Y20" s="136" t="s">
        <v>630</v>
      </c>
      <c r="Z20" s="100">
        <f>VLOOKUP(C20,'Summary_by FY'!$C$1:$C$998,1,FALSE)</f>
        <v>20577</v>
      </c>
    </row>
    <row r="21" spans="1:26" s="130" customFormat="1" outlineLevel="1" x14ac:dyDescent="0.4">
      <c r="A21" s="115">
        <f t="shared" si="1"/>
        <v>18</v>
      </c>
      <c r="B21" s="116" t="s">
        <v>89</v>
      </c>
      <c r="C21" s="117">
        <v>20644</v>
      </c>
      <c r="D21" s="118">
        <v>8241</v>
      </c>
      <c r="E21" s="118" t="s">
        <v>209</v>
      </c>
      <c r="F21" s="118" t="s">
        <v>28</v>
      </c>
      <c r="G21" s="119" t="str">
        <f>VLOOKUP(F21,lookup!B:C,2,FALSE)</f>
        <v>Peabody</v>
      </c>
      <c r="H21" s="118" t="s">
        <v>156</v>
      </c>
      <c r="I21" s="118" t="s">
        <v>262</v>
      </c>
      <c r="J21" s="118" t="s">
        <v>441</v>
      </c>
      <c r="K21" s="118" t="s">
        <v>295</v>
      </c>
      <c r="L21" s="118" t="s">
        <v>148</v>
      </c>
      <c r="M21" s="120">
        <v>630554</v>
      </c>
      <c r="N21" s="121">
        <v>630554</v>
      </c>
      <c r="O21" s="121">
        <v>571789</v>
      </c>
      <c r="P21" s="121">
        <v>571789</v>
      </c>
      <c r="Q21" s="121">
        <v>571789</v>
      </c>
      <c r="R21" s="122"/>
      <c r="S21" s="123">
        <f>'20644'!H9+'20644'!H10</f>
        <v>630554</v>
      </c>
      <c r="T21" s="124">
        <f>'20644'!H11</f>
        <v>-58765</v>
      </c>
      <c r="U21" s="132">
        <v>0</v>
      </c>
      <c r="V21" s="126">
        <v>0</v>
      </c>
      <c r="W21" s="126">
        <v>0</v>
      </c>
      <c r="X21" s="128">
        <f t="shared" si="0"/>
        <v>0</v>
      </c>
      <c r="Y21" s="136" t="s">
        <v>320</v>
      </c>
      <c r="Z21" s="100">
        <f>VLOOKUP(C21,'Summary_by FY'!$C$1:$C$998,1,FALSE)</f>
        <v>20644</v>
      </c>
    </row>
    <row r="22" spans="1:26" s="130" customFormat="1" outlineLevel="1" x14ac:dyDescent="0.4">
      <c r="A22" s="115">
        <f t="shared" si="1"/>
        <v>19</v>
      </c>
      <c r="B22" s="116" t="s">
        <v>90</v>
      </c>
      <c r="C22" s="117">
        <v>20645</v>
      </c>
      <c r="D22" s="118">
        <v>8239</v>
      </c>
      <c r="E22" s="118"/>
      <c r="F22" s="118" t="s">
        <v>10</v>
      </c>
      <c r="G22" s="119" t="str">
        <f>VLOOKUP(F22,lookup!B:C,2,FALSE)</f>
        <v>Arts &amp; Science</v>
      </c>
      <c r="H22" s="118" t="s">
        <v>147</v>
      </c>
      <c r="I22" s="118" t="s">
        <v>110</v>
      </c>
      <c r="J22" s="118" t="s">
        <v>441</v>
      </c>
      <c r="K22" s="118" t="s">
        <v>295</v>
      </c>
      <c r="L22" s="118" t="s">
        <v>148</v>
      </c>
      <c r="M22" s="120">
        <v>125875</v>
      </c>
      <c r="N22" s="121">
        <v>125875</v>
      </c>
      <c r="O22" s="121">
        <v>114350</v>
      </c>
      <c r="P22" s="121">
        <v>114350</v>
      </c>
      <c r="Q22" s="121">
        <v>114350</v>
      </c>
      <c r="R22" s="122"/>
      <c r="S22" s="123">
        <f>'20645'!H9</f>
        <v>125875</v>
      </c>
      <c r="T22" s="124">
        <f>'20645'!H10</f>
        <v>-11525</v>
      </c>
      <c r="U22" s="132">
        <v>0</v>
      </c>
      <c r="V22" s="126">
        <v>0</v>
      </c>
      <c r="W22" s="126">
        <v>0</v>
      </c>
      <c r="X22" s="128">
        <f t="shared" si="0"/>
        <v>0</v>
      </c>
      <c r="Y22" s="136" t="s">
        <v>355</v>
      </c>
      <c r="Z22" s="100">
        <f>VLOOKUP(C22,'Summary_by FY'!$C$1:$C$998,1,FALSE)</f>
        <v>20645</v>
      </c>
    </row>
    <row r="23" spans="1:26" s="143" customFormat="1" x14ac:dyDescent="0.4">
      <c r="A23" s="133">
        <f t="shared" si="1"/>
        <v>20</v>
      </c>
      <c r="B23" s="134" t="s">
        <v>89</v>
      </c>
      <c r="C23" s="135">
        <v>20667</v>
      </c>
      <c r="D23" s="136">
        <v>8168</v>
      </c>
      <c r="E23" s="136" t="s">
        <v>170</v>
      </c>
      <c r="F23" s="136" t="s">
        <v>15</v>
      </c>
      <c r="G23" s="137" t="str">
        <f>VLOOKUP(F23,lookup!B:C,2,FALSE)</f>
        <v>Engineering</v>
      </c>
      <c r="H23" s="136" t="s">
        <v>162</v>
      </c>
      <c r="I23" s="136" t="s">
        <v>163</v>
      </c>
      <c r="J23" s="136" t="s">
        <v>430</v>
      </c>
      <c r="K23" s="136" t="s">
        <v>101</v>
      </c>
      <c r="L23" s="136" t="s">
        <v>459</v>
      </c>
      <c r="M23" s="138">
        <v>1550000</v>
      </c>
      <c r="N23" s="139">
        <v>1545360</v>
      </c>
      <c r="O23" s="139">
        <v>1500154.4</v>
      </c>
      <c r="P23" s="139">
        <v>1500154.4</v>
      </c>
      <c r="Q23" s="139">
        <v>1384276.78</v>
      </c>
      <c r="R23" s="140"/>
      <c r="S23" s="141">
        <f>'20667'!H10+'20667'!H11</f>
        <v>146500</v>
      </c>
      <c r="T23" s="142">
        <v>0</v>
      </c>
      <c r="U23" s="132">
        <f>'20667'!H12</f>
        <v>1398860</v>
      </c>
      <c r="V23" s="127">
        <v>0</v>
      </c>
      <c r="W23" s="127">
        <v>0</v>
      </c>
      <c r="X23" s="128">
        <f t="shared" si="0"/>
        <v>0</v>
      </c>
      <c r="Y23" s="136" t="s">
        <v>631</v>
      </c>
      <c r="Z23" s="100">
        <f>VLOOKUP(C23,'Summary_by FY'!$C$1:$C$998,1,FALSE)</f>
        <v>20667</v>
      </c>
    </row>
    <row r="24" spans="1:26" s="143" customFormat="1" x14ac:dyDescent="0.4">
      <c r="A24" s="133">
        <f t="shared" si="1"/>
        <v>21</v>
      </c>
      <c r="B24" s="134" t="s">
        <v>89</v>
      </c>
      <c r="C24" s="135">
        <v>20668</v>
      </c>
      <c r="D24" s="136">
        <v>8151</v>
      </c>
      <c r="E24" s="136" t="s">
        <v>185</v>
      </c>
      <c r="F24" s="136" t="s">
        <v>15</v>
      </c>
      <c r="G24" s="137" t="str">
        <f>VLOOKUP(F24,lookup!B:C,2,FALSE)</f>
        <v>Engineering</v>
      </c>
      <c r="H24" s="136" t="s">
        <v>160</v>
      </c>
      <c r="I24" s="136" t="s">
        <v>161</v>
      </c>
      <c r="J24" s="136" t="s">
        <v>430</v>
      </c>
      <c r="K24" s="136" t="s">
        <v>100</v>
      </c>
      <c r="L24" s="136" t="s">
        <v>155</v>
      </c>
      <c r="M24" s="138">
        <v>3960000</v>
      </c>
      <c r="N24" s="139">
        <v>231433</v>
      </c>
      <c r="O24" s="139">
        <v>231433</v>
      </c>
      <c r="P24" s="139">
        <v>231433</v>
      </c>
      <c r="Q24" s="139">
        <v>116143</v>
      </c>
      <c r="R24" s="140"/>
      <c r="S24" s="141">
        <f>'20668'!H9+'20668'!H10</f>
        <v>206500</v>
      </c>
      <c r="T24" s="142">
        <f>'20668'!H11</f>
        <v>24933</v>
      </c>
      <c r="U24" s="132">
        <v>0</v>
      </c>
      <c r="V24" s="127">
        <v>0</v>
      </c>
      <c r="W24" s="127">
        <v>0</v>
      </c>
      <c r="X24" s="128">
        <f t="shared" si="0"/>
        <v>0</v>
      </c>
      <c r="Y24" s="136" t="s">
        <v>632</v>
      </c>
      <c r="Z24" s="100">
        <f>VLOOKUP(C24,'Summary_by FY'!$C$1:$C$998,1,FALSE)</f>
        <v>20668</v>
      </c>
    </row>
    <row r="25" spans="1:26" s="130" customFormat="1" outlineLevel="1" x14ac:dyDescent="0.4">
      <c r="A25" s="115">
        <f t="shared" si="1"/>
        <v>22</v>
      </c>
      <c r="B25" s="116" t="s">
        <v>89</v>
      </c>
      <c r="C25" s="117">
        <v>20698</v>
      </c>
      <c r="D25" s="118">
        <v>1138</v>
      </c>
      <c r="E25" s="118" t="s">
        <v>202</v>
      </c>
      <c r="F25" s="118" t="s">
        <v>10</v>
      </c>
      <c r="G25" s="119" t="str">
        <f>VLOOKUP(F25,lookup!B:C,2,FALSE)</f>
        <v>Arts &amp; Science</v>
      </c>
      <c r="H25" s="118" t="s">
        <v>197</v>
      </c>
      <c r="I25" s="118" t="s">
        <v>207</v>
      </c>
      <c r="J25" s="118" t="s">
        <v>441</v>
      </c>
      <c r="K25" s="118" t="s">
        <v>295</v>
      </c>
      <c r="L25" s="118" t="s">
        <v>155</v>
      </c>
      <c r="M25" s="120">
        <v>680000</v>
      </c>
      <c r="N25" s="121">
        <v>678513</v>
      </c>
      <c r="O25" s="121">
        <v>586776.36</v>
      </c>
      <c r="P25" s="121">
        <v>586776.36</v>
      </c>
      <c r="Q25" s="121">
        <v>586776.36</v>
      </c>
      <c r="R25" s="122"/>
      <c r="S25" s="123">
        <f>'20698'!H9+'20698'!H10+'20698'!H11</f>
        <v>29250</v>
      </c>
      <c r="T25" s="124">
        <f>'20698'!H12</f>
        <v>649263</v>
      </c>
      <c r="U25" s="132">
        <v>0</v>
      </c>
      <c r="V25" s="126">
        <f>'20698'!H13</f>
        <v>-91736.639999999999</v>
      </c>
      <c r="W25" s="126">
        <v>0</v>
      </c>
      <c r="X25" s="128">
        <f t="shared" si="0"/>
        <v>-91736.639999999999</v>
      </c>
      <c r="Y25" s="136" t="s">
        <v>417</v>
      </c>
      <c r="Z25" s="100">
        <f>VLOOKUP(C25,'Summary_by FY'!$C$1:$C$998,1,FALSE)</f>
        <v>20698</v>
      </c>
    </row>
    <row r="26" spans="1:26" s="130" customFormat="1" outlineLevel="1" x14ac:dyDescent="0.4">
      <c r="A26" s="115">
        <f t="shared" si="1"/>
        <v>23</v>
      </c>
      <c r="B26" s="116" t="s">
        <v>90</v>
      </c>
      <c r="C26" s="117">
        <v>20700</v>
      </c>
      <c r="D26" s="118">
        <v>851</v>
      </c>
      <c r="E26" s="118"/>
      <c r="F26" s="118" t="s">
        <v>10</v>
      </c>
      <c r="G26" s="119" t="str">
        <f>VLOOKUP(F26,lookup!B:C,2,FALSE)</f>
        <v>Arts &amp; Science</v>
      </c>
      <c r="H26" s="118" t="s">
        <v>158</v>
      </c>
      <c r="I26" s="118" t="s">
        <v>318</v>
      </c>
      <c r="J26" s="118" t="s">
        <v>441</v>
      </c>
      <c r="K26" s="118" t="s">
        <v>295</v>
      </c>
      <c r="L26" s="118" t="s">
        <v>155</v>
      </c>
      <c r="M26" s="120">
        <v>80000</v>
      </c>
      <c r="N26" s="121">
        <v>85577</v>
      </c>
      <c r="O26" s="121">
        <v>85576.77</v>
      </c>
      <c r="P26" s="121">
        <v>85576.77</v>
      </c>
      <c r="Q26" s="121">
        <v>85576.77</v>
      </c>
      <c r="R26" s="122"/>
      <c r="S26" s="123">
        <f>'20700'!H9+'20700'!H10</f>
        <v>79623</v>
      </c>
      <c r="T26" s="124">
        <f>'20700'!H11</f>
        <v>5954</v>
      </c>
      <c r="U26" s="132">
        <v>0</v>
      </c>
      <c r="V26" s="126">
        <v>0</v>
      </c>
      <c r="W26" s="126">
        <v>0</v>
      </c>
      <c r="X26" s="128">
        <f t="shared" si="0"/>
        <v>0</v>
      </c>
      <c r="Y26" s="136" t="s">
        <v>327</v>
      </c>
      <c r="Z26" s="100">
        <f>VLOOKUP(C26,'Summary_by FY'!$C$1:$C$998,1,FALSE)</f>
        <v>20700</v>
      </c>
    </row>
    <row r="27" spans="1:26" s="130" customFormat="1" outlineLevel="1" x14ac:dyDescent="0.4">
      <c r="A27" s="115">
        <f t="shared" si="1"/>
        <v>24</v>
      </c>
      <c r="B27" s="116" t="s">
        <v>89</v>
      </c>
      <c r="C27" s="117">
        <v>20701</v>
      </c>
      <c r="D27" s="118">
        <v>4399</v>
      </c>
      <c r="E27" s="118" t="s">
        <v>252</v>
      </c>
      <c r="F27" s="118" t="s">
        <v>10</v>
      </c>
      <c r="G27" s="119" t="str">
        <f>VLOOKUP(F27,lookup!B:C,2,FALSE)</f>
        <v>Arts &amp; Science</v>
      </c>
      <c r="H27" s="118" t="s">
        <v>198</v>
      </c>
      <c r="I27" s="118" t="s">
        <v>319</v>
      </c>
      <c r="J27" s="118" t="s">
        <v>441</v>
      </c>
      <c r="K27" s="118" t="s">
        <v>295</v>
      </c>
      <c r="L27" s="118" t="s">
        <v>155</v>
      </c>
      <c r="M27" s="120">
        <v>500000</v>
      </c>
      <c r="N27" s="121">
        <v>499093</v>
      </c>
      <c r="O27" s="121">
        <v>447535.86</v>
      </c>
      <c r="P27" s="121">
        <v>447535.86</v>
      </c>
      <c r="Q27" s="121">
        <v>447535.86</v>
      </c>
      <c r="R27" s="122">
        <v>51582.14</v>
      </c>
      <c r="S27" s="123">
        <f>'20701'!H9</f>
        <v>499093</v>
      </c>
      <c r="T27" s="124">
        <v>0</v>
      </c>
      <c r="U27" s="132">
        <v>0</v>
      </c>
      <c r="V27" s="126">
        <f>'20701'!H10</f>
        <v>-51557.14</v>
      </c>
      <c r="W27" s="126">
        <v>0</v>
      </c>
      <c r="X27" s="128">
        <f t="shared" si="0"/>
        <v>-51557.14</v>
      </c>
      <c r="Y27" s="136" t="s">
        <v>561</v>
      </c>
      <c r="Z27" s="100">
        <f>VLOOKUP(C27,'Summary_by FY'!$C$1:$C$998,1,FALSE)</f>
        <v>20701</v>
      </c>
    </row>
    <row r="28" spans="1:26" s="130" customFormat="1" outlineLevel="1" x14ac:dyDescent="0.4">
      <c r="A28" s="115">
        <f t="shared" si="1"/>
        <v>25</v>
      </c>
      <c r="B28" s="116" t="s">
        <v>89</v>
      </c>
      <c r="C28" s="117">
        <v>20702</v>
      </c>
      <c r="D28" s="118">
        <v>8432</v>
      </c>
      <c r="E28" s="118" t="s">
        <v>200</v>
      </c>
      <c r="F28" s="118" t="s">
        <v>28</v>
      </c>
      <c r="G28" s="119" t="str">
        <f>VLOOKUP(F28,lookup!B:C,2,FALSE)</f>
        <v>Peabody</v>
      </c>
      <c r="H28" s="118" t="s">
        <v>159</v>
      </c>
      <c r="I28" s="118" t="s">
        <v>201</v>
      </c>
      <c r="J28" s="118" t="s">
        <v>441</v>
      </c>
      <c r="K28" s="118" t="s">
        <v>295</v>
      </c>
      <c r="L28" s="118" t="s">
        <v>148</v>
      </c>
      <c r="M28" s="120">
        <v>225791</v>
      </c>
      <c r="N28" s="121">
        <v>239341</v>
      </c>
      <c r="O28" s="121">
        <v>209419</v>
      </c>
      <c r="P28" s="121">
        <v>209419</v>
      </c>
      <c r="Q28" s="121">
        <v>209419</v>
      </c>
      <c r="R28" s="122"/>
      <c r="S28" s="123">
        <f>'20702'!H9+'20702'!H10</f>
        <v>239341</v>
      </c>
      <c r="T28" s="124">
        <f>'20702'!H11</f>
        <v>-29922</v>
      </c>
      <c r="U28" s="132">
        <v>0</v>
      </c>
      <c r="V28" s="126">
        <v>0</v>
      </c>
      <c r="W28" s="126">
        <v>0</v>
      </c>
      <c r="X28" s="128">
        <f t="shared" si="0"/>
        <v>0</v>
      </c>
      <c r="Y28" s="136" t="s">
        <v>339</v>
      </c>
      <c r="Z28" s="100">
        <f>VLOOKUP(C28,'Summary_by FY'!$C$1:$C$998,1,FALSE)</f>
        <v>20702</v>
      </c>
    </row>
    <row r="29" spans="1:26" s="130" customFormat="1" outlineLevel="1" x14ac:dyDescent="0.4">
      <c r="A29" s="115">
        <f t="shared" si="1"/>
        <v>26</v>
      </c>
      <c r="B29" s="116" t="s">
        <v>89</v>
      </c>
      <c r="C29" s="117">
        <v>20718</v>
      </c>
      <c r="D29" s="118">
        <v>8608</v>
      </c>
      <c r="E29" s="118" t="s">
        <v>240</v>
      </c>
      <c r="F29" s="118" t="s">
        <v>10</v>
      </c>
      <c r="G29" s="119" t="str">
        <f>VLOOKUP(F29,lookup!B:C,2,FALSE)</f>
        <v>Arts &amp; Science</v>
      </c>
      <c r="H29" s="118" t="s">
        <v>241</v>
      </c>
      <c r="I29" s="118" t="s">
        <v>242</v>
      </c>
      <c r="J29" s="118" t="s">
        <v>441</v>
      </c>
      <c r="K29" s="118" t="s">
        <v>295</v>
      </c>
      <c r="L29" s="118" t="s">
        <v>243</v>
      </c>
      <c r="M29" s="120">
        <v>715000</v>
      </c>
      <c r="N29" s="121">
        <v>715000</v>
      </c>
      <c r="O29" s="121">
        <v>656784.6</v>
      </c>
      <c r="P29" s="121">
        <v>656784.6</v>
      </c>
      <c r="Q29" s="121">
        <v>656576.59</v>
      </c>
      <c r="R29" s="122"/>
      <c r="S29" s="123">
        <f>'20718'!H9</f>
        <v>96166</v>
      </c>
      <c r="T29" s="124">
        <v>0</v>
      </c>
      <c r="U29" s="132">
        <v>0</v>
      </c>
      <c r="V29" s="126">
        <v>0</v>
      </c>
      <c r="W29" s="126">
        <v>0</v>
      </c>
      <c r="X29" s="128">
        <f t="shared" si="0"/>
        <v>0</v>
      </c>
      <c r="Y29" s="136" t="s">
        <v>356</v>
      </c>
      <c r="Z29" s="100">
        <f>VLOOKUP(C29,'Summary_by FY'!$C$1:$C$998,1,FALSE)</f>
        <v>20718</v>
      </c>
    </row>
    <row r="30" spans="1:26" s="143" customFormat="1" x14ac:dyDescent="0.4">
      <c r="A30" s="133">
        <f t="shared" si="1"/>
        <v>27</v>
      </c>
      <c r="B30" s="134" t="s">
        <v>89</v>
      </c>
      <c r="C30" s="135">
        <v>20723</v>
      </c>
      <c r="D30" s="136">
        <v>1628</v>
      </c>
      <c r="E30" s="136" t="s">
        <v>234</v>
      </c>
      <c r="F30" s="136" t="s">
        <v>21</v>
      </c>
      <c r="G30" s="137" t="str">
        <f>VLOOKUP(F30,lookup!B:C,2,FALSE)</f>
        <v>School of Medicine</v>
      </c>
      <c r="H30" s="136" t="s">
        <v>146</v>
      </c>
      <c r="I30" s="136" t="s">
        <v>277</v>
      </c>
      <c r="J30" s="136" t="s">
        <v>430</v>
      </c>
      <c r="K30" s="136" t="s">
        <v>101</v>
      </c>
      <c r="L30" s="136" t="s">
        <v>301</v>
      </c>
      <c r="M30" s="138">
        <v>1610000</v>
      </c>
      <c r="N30" s="139">
        <v>1700000</v>
      </c>
      <c r="O30" s="139">
        <v>1538240.72</v>
      </c>
      <c r="P30" s="139">
        <v>1538240.72</v>
      </c>
      <c r="Q30" s="139">
        <v>1146822.02</v>
      </c>
      <c r="R30" s="140"/>
      <c r="S30" s="141">
        <f>'20723'!H9+'20723'!H10</f>
        <v>160500</v>
      </c>
      <c r="T30" s="142">
        <v>0</v>
      </c>
      <c r="U30" s="132">
        <f>'20723'!H11</f>
        <v>1539500</v>
      </c>
      <c r="V30" s="127">
        <v>0</v>
      </c>
      <c r="W30" s="127">
        <v>0</v>
      </c>
      <c r="X30" s="128">
        <f t="shared" si="0"/>
        <v>0</v>
      </c>
      <c r="Y30" s="136" t="s">
        <v>633</v>
      </c>
      <c r="Z30" s="100">
        <f>VLOOKUP(C30,'Summary_by FY'!$C$1:$C$998,1,FALSE)</f>
        <v>20723</v>
      </c>
    </row>
    <row r="31" spans="1:26" s="143" customFormat="1" x14ac:dyDescent="0.4">
      <c r="A31" s="133">
        <f t="shared" si="1"/>
        <v>28</v>
      </c>
      <c r="B31" s="134" t="s">
        <v>89</v>
      </c>
      <c r="C31" s="135">
        <v>20724</v>
      </c>
      <c r="D31" s="136">
        <v>8557</v>
      </c>
      <c r="E31" s="136" t="s">
        <v>218</v>
      </c>
      <c r="F31" s="136" t="s">
        <v>12</v>
      </c>
      <c r="G31" s="137" t="str">
        <f>VLOOKUP(F31,lookup!B:C,2,FALSE)</f>
        <v>Blair</v>
      </c>
      <c r="H31" s="136" t="s">
        <v>149</v>
      </c>
      <c r="I31" s="136" t="s">
        <v>369</v>
      </c>
      <c r="J31" s="136" t="s">
        <v>430</v>
      </c>
      <c r="K31" s="136" t="s">
        <v>248</v>
      </c>
      <c r="L31" s="136" t="s">
        <v>150</v>
      </c>
      <c r="M31" s="138">
        <v>1987500</v>
      </c>
      <c r="N31" s="139">
        <v>1987500</v>
      </c>
      <c r="O31" s="139">
        <v>1873174.63</v>
      </c>
      <c r="P31" s="139">
        <v>1873174.63</v>
      </c>
      <c r="Q31" s="139">
        <v>1839258.28</v>
      </c>
      <c r="R31" s="140">
        <v>114325.37</v>
      </c>
      <c r="S31" s="141">
        <f>'20724'!H9</f>
        <v>23400</v>
      </c>
      <c r="T31" s="142">
        <f>'20724'!H10</f>
        <v>1964100</v>
      </c>
      <c r="U31" s="132">
        <v>0</v>
      </c>
      <c r="V31" s="127">
        <f>'20724'!H11</f>
        <v>-148241.72</v>
      </c>
      <c r="W31" s="127">
        <v>0</v>
      </c>
      <c r="X31" s="128">
        <f t="shared" si="0"/>
        <v>-148241.72</v>
      </c>
      <c r="Y31" s="136" t="s">
        <v>461</v>
      </c>
      <c r="Z31" s="100">
        <f>VLOOKUP(C31,'Summary_by FY'!$C$1:$C$998,1,FALSE)</f>
        <v>20724</v>
      </c>
    </row>
    <row r="32" spans="1:26" s="130" customFormat="1" outlineLevel="1" x14ac:dyDescent="0.4">
      <c r="A32" s="115">
        <f t="shared" si="1"/>
        <v>29</v>
      </c>
      <c r="B32" s="116" t="s">
        <v>90</v>
      </c>
      <c r="C32" s="117">
        <v>20735</v>
      </c>
      <c r="D32" s="118">
        <v>8226</v>
      </c>
      <c r="E32" s="118"/>
      <c r="F32" s="118" t="s">
        <v>26</v>
      </c>
      <c r="G32" s="119" t="str">
        <f>VLOOKUP(F32,lookup!B:C,2,FALSE)</f>
        <v>Owen</v>
      </c>
      <c r="H32" s="118" t="s">
        <v>228</v>
      </c>
      <c r="I32" s="118" t="s">
        <v>238</v>
      </c>
      <c r="J32" s="118" t="s">
        <v>441</v>
      </c>
      <c r="K32" s="118" t="s">
        <v>295</v>
      </c>
      <c r="L32" s="118" t="s">
        <v>148</v>
      </c>
      <c r="M32" s="120">
        <v>300000</v>
      </c>
      <c r="N32" s="121">
        <v>300000</v>
      </c>
      <c r="O32" s="121">
        <v>276500</v>
      </c>
      <c r="P32" s="121">
        <v>276500</v>
      </c>
      <c r="Q32" s="121">
        <v>276500</v>
      </c>
      <c r="R32" s="122"/>
      <c r="S32" s="123">
        <f>'20735'!H9</f>
        <v>300000</v>
      </c>
      <c r="T32" s="124">
        <f>'20735'!H10</f>
        <v>-23500</v>
      </c>
      <c r="U32" s="125">
        <v>0</v>
      </c>
      <c r="V32" s="126">
        <v>0</v>
      </c>
      <c r="W32" s="126">
        <v>0</v>
      </c>
      <c r="X32" s="128">
        <f t="shared" si="0"/>
        <v>0</v>
      </c>
      <c r="Y32" s="136" t="s">
        <v>418</v>
      </c>
      <c r="Z32" s="100">
        <f>VLOOKUP(C32,'Summary_by FY'!$C$1:$C$998,1,FALSE)</f>
        <v>20735</v>
      </c>
    </row>
    <row r="33" spans="1:26" s="143" customFormat="1" x14ac:dyDescent="0.4">
      <c r="A33" s="133">
        <f t="shared" si="1"/>
        <v>30</v>
      </c>
      <c r="B33" s="134" t="s">
        <v>89</v>
      </c>
      <c r="C33" s="145">
        <v>20767</v>
      </c>
      <c r="D33" s="136">
        <v>8673</v>
      </c>
      <c r="E33" s="136" t="s">
        <v>361</v>
      </c>
      <c r="F33" s="136" t="s">
        <v>28</v>
      </c>
      <c r="G33" s="137" t="str">
        <f>VLOOKUP(F33,lookup!B:C,2,FALSE)</f>
        <v>Peabody</v>
      </c>
      <c r="H33" s="136" t="s">
        <v>244</v>
      </c>
      <c r="I33" s="136" t="s">
        <v>245</v>
      </c>
      <c r="J33" s="136" t="s">
        <v>430</v>
      </c>
      <c r="K33" s="136" t="s">
        <v>276</v>
      </c>
      <c r="L33" s="136" t="s">
        <v>301</v>
      </c>
      <c r="M33" s="138">
        <v>149000</v>
      </c>
      <c r="N33" s="139">
        <v>148299</v>
      </c>
      <c r="O33" s="139">
        <v>125699</v>
      </c>
      <c r="P33" s="139">
        <v>125699</v>
      </c>
      <c r="Q33" s="139">
        <v>125699</v>
      </c>
      <c r="R33" s="140">
        <v>22600</v>
      </c>
      <c r="S33" s="141">
        <v>0</v>
      </c>
      <c r="T33" s="142">
        <f>'20767'!H9</f>
        <v>148299</v>
      </c>
      <c r="U33" s="132">
        <v>0</v>
      </c>
      <c r="V33" s="127">
        <v>0</v>
      </c>
      <c r="W33" s="127">
        <v>0</v>
      </c>
      <c r="X33" s="128">
        <f t="shared" si="0"/>
        <v>0</v>
      </c>
      <c r="Y33" s="136" t="s">
        <v>601</v>
      </c>
      <c r="Z33" s="100">
        <f>VLOOKUP(C33,'Summary_by FY'!$C$1:$C$998,1,FALSE)</f>
        <v>20767</v>
      </c>
    </row>
    <row r="34" spans="1:26" s="130" customFormat="1" outlineLevel="1" x14ac:dyDescent="0.4">
      <c r="A34" s="115">
        <f t="shared" si="1"/>
        <v>31</v>
      </c>
      <c r="B34" s="116" t="s">
        <v>90</v>
      </c>
      <c r="C34" s="146">
        <v>20771</v>
      </c>
      <c r="D34" s="118">
        <v>8674</v>
      </c>
      <c r="E34" s="118"/>
      <c r="F34" s="118" t="s">
        <v>10</v>
      </c>
      <c r="G34" s="119" t="str">
        <f>VLOOKUP(F34,lookup!B:C,2,FALSE)</f>
        <v>Arts &amp; Science</v>
      </c>
      <c r="H34" s="118" t="s">
        <v>158</v>
      </c>
      <c r="I34" s="118" t="s">
        <v>247</v>
      </c>
      <c r="J34" s="118" t="s">
        <v>441</v>
      </c>
      <c r="K34" s="118" t="s">
        <v>295</v>
      </c>
      <c r="L34" s="118" t="s">
        <v>155</v>
      </c>
      <c r="M34" s="120">
        <v>25000</v>
      </c>
      <c r="N34" s="121">
        <v>24997</v>
      </c>
      <c r="O34" s="121">
        <v>17972</v>
      </c>
      <c r="P34" s="121">
        <v>17972</v>
      </c>
      <c r="Q34" s="121">
        <v>17972</v>
      </c>
      <c r="R34" s="122"/>
      <c r="S34" s="123">
        <f>'20771'!H9+'20771'!H10</f>
        <v>24997</v>
      </c>
      <c r="T34" s="124">
        <f>'20771'!H11</f>
        <v>-7025</v>
      </c>
      <c r="U34" s="132">
        <v>0</v>
      </c>
      <c r="V34" s="126">
        <v>0</v>
      </c>
      <c r="W34" s="126">
        <v>0</v>
      </c>
      <c r="X34" s="128">
        <f t="shared" si="0"/>
        <v>0</v>
      </c>
      <c r="Y34" s="136" t="s">
        <v>296</v>
      </c>
      <c r="Z34" s="100">
        <f>VLOOKUP(C34,'Summary_by FY'!$C$1:$C$998,1,FALSE)</f>
        <v>20771</v>
      </c>
    </row>
    <row r="35" spans="1:26" s="130" customFormat="1" outlineLevel="1" x14ac:dyDescent="0.4">
      <c r="A35" s="115">
        <f t="shared" si="1"/>
        <v>32</v>
      </c>
      <c r="B35" s="116" t="s">
        <v>89</v>
      </c>
      <c r="C35" s="146">
        <v>20772</v>
      </c>
      <c r="D35" s="118">
        <v>8675</v>
      </c>
      <c r="E35" s="118" t="s">
        <v>348</v>
      </c>
      <c r="F35" s="118" t="s">
        <v>585</v>
      </c>
      <c r="G35" s="119" t="str">
        <f>VLOOKUP(F35,lookup!B:C,2,FALSE)</f>
        <v>Owen</v>
      </c>
      <c r="H35" s="118" t="s">
        <v>228</v>
      </c>
      <c r="I35" s="118" t="s">
        <v>324</v>
      </c>
      <c r="J35" s="118" t="s">
        <v>441</v>
      </c>
      <c r="K35" s="118" t="s">
        <v>295</v>
      </c>
      <c r="L35" s="118" t="s">
        <v>148</v>
      </c>
      <c r="M35" s="120">
        <v>3200000</v>
      </c>
      <c r="N35" s="121">
        <v>3200000</v>
      </c>
      <c r="O35" s="121">
        <v>2977388.14</v>
      </c>
      <c r="P35" s="121">
        <v>2977388.14</v>
      </c>
      <c r="Q35" s="121">
        <v>2977388.14</v>
      </c>
      <c r="R35" s="122"/>
      <c r="S35" s="123">
        <v>0</v>
      </c>
      <c r="T35" s="124">
        <f>'20772'!H9</f>
        <v>1600000</v>
      </c>
      <c r="U35" s="132">
        <f>'20772'!H10</f>
        <v>1600000</v>
      </c>
      <c r="V35" s="126">
        <f>'20772'!H11</f>
        <v>-222611.86</v>
      </c>
      <c r="W35" s="126">
        <v>0</v>
      </c>
      <c r="X35" s="128">
        <f t="shared" si="0"/>
        <v>-222611.86</v>
      </c>
      <c r="Y35" s="136" t="s">
        <v>453</v>
      </c>
      <c r="Z35" s="100">
        <f>VLOOKUP(C35,'Summary_by FY'!$C$1:$C$998,1,FALSE)</f>
        <v>20772</v>
      </c>
    </row>
    <row r="36" spans="1:26" s="130" customFormat="1" outlineLevel="1" x14ac:dyDescent="0.4">
      <c r="A36" s="115">
        <f t="shared" si="1"/>
        <v>33</v>
      </c>
      <c r="B36" s="116" t="s">
        <v>89</v>
      </c>
      <c r="C36" s="146">
        <v>20792</v>
      </c>
      <c r="D36" s="118">
        <v>1035</v>
      </c>
      <c r="E36" s="118" t="s">
        <v>264</v>
      </c>
      <c r="F36" s="118" t="s">
        <v>153</v>
      </c>
      <c r="G36" s="119" t="str">
        <f>VLOOKUP(F36,lookup!B:C,2,FALSE)</f>
        <v>Law</v>
      </c>
      <c r="H36" s="118" t="s">
        <v>258</v>
      </c>
      <c r="I36" s="118" t="s">
        <v>259</v>
      </c>
      <c r="J36" s="118" t="s">
        <v>441</v>
      </c>
      <c r="K36" s="118" t="s">
        <v>295</v>
      </c>
      <c r="L36" s="118" t="s">
        <v>148</v>
      </c>
      <c r="M36" s="120">
        <v>400000</v>
      </c>
      <c r="N36" s="121">
        <v>483440</v>
      </c>
      <c r="O36" s="121">
        <v>450775</v>
      </c>
      <c r="P36" s="121">
        <v>450775</v>
      </c>
      <c r="Q36" s="121">
        <v>450775</v>
      </c>
      <c r="R36" s="122"/>
      <c r="S36" s="123">
        <f>'20792'!H9</f>
        <v>483440</v>
      </c>
      <c r="T36" s="124">
        <f>'20792'!H10</f>
        <v>-32665</v>
      </c>
      <c r="U36" s="132">
        <v>0</v>
      </c>
      <c r="V36" s="126">
        <v>0</v>
      </c>
      <c r="W36" s="126">
        <v>0</v>
      </c>
      <c r="X36" s="128">
        <f t="shared" si="0"/>
        <v>0</v>
      </c>
      <c r="Y36" s="136" t="s">
        <v>340</v>
      </c>
      <c r="Z36" s="100">
        <f>VLOOKUP(C36,'Summary_by FY'!$C$1:$C$998,1,FALSE)</f>
        <v>20792</v>
      </c>
    </row>
    <row r="37" spans="1:26" s="130" customFormat="1" outlineLevel="1" x14ac:dyDescent="0.4">
      <c r="A37" s="115">
        <f t="shared" si="1"/>
        <v>34</v>
      </c>
      <c r="B37" s="116" t="s">
        <v>89</v>
      </c>
      <c r="C37" s="146">
        <v>20811</v>
      </c>
      <c r="D37" s="118">
        <v>8729</v>
      </c>
      <c r="E37" s="118" t="s">
        <v>366</v>
      </c>
      <c r="F37" s="118" t="s">
        <v>28</v>
      </c>
      <c r="G37" s="119" t="str">
        <f>VLOOKUP(F37,lookup!B:C,2,FALSE)</f>
        <v>Peabody</v>
      </c>
      <c r="H37" s="118" t="s">
        <v>313</v>
      </c>
      <c r="I37" s="118" t="s">
        <v>363</v>
      </c>
      <c r="J37" s="118" t="s">
        <v>441</v>
      </c>
      <c r="K37" s="118" t="s">
        <v>295</v>
      </c>
      <c r="L37" s="118" t="s">
        <v>148</v>
      </c>
      <c r="M37" s="120">
        <v>75000</v>
      </c>
      <c r="N37" s="121">
        <v>285233.27</v>
      </c>
      <c r="O37" s="121">
        <v>255013.19</v>
      </c>
      <c r="P37" s="121">
        <v>255013.19</v>
      </c>
      <c r="Q37" s="121">
        <v>123523.71</v>
      </c>
      <c r="R37" s="122">
        <v>30220.080000000002</v>
      </c>
      <c r="S37" s="123">
        <v>0</v>
      </c>
      <c r="T37" s="124">
        <f>'20811'!H9</f>
        <v>285233.27</v>
      </c>
      <c r="U37" s="125">
        <v>0</v>
      </c>
      <c r="V37" s="126">
        <f>'20811'!H10</f>
        <v>-161709.56</v>
      </c>
      <c r="W37" s="126">
        <v>0</v>
      </c>
      <c r="X37" s="339">
        <f t="shared" si="0"/>
        <v>-161709.56</v>
      </c>
      <c r="Y37" s="118" t="s">
        <v>454</v>
      </c>
      <c r="Z37" s="131">
        <f>VLOOKUP(C37,'Summary_by FY'!$C$1:$C$998,1,FALSE)</f>
        <v>20811</v>
      </c>
    </row>
    <row r="38" spans="1:26" s="143" customFormat="1" x14ac:dyDescent="0.4">
      <c r="A38" s="133">
        <f t="shared" si="1"/>
        <v>35</v>
      </c>
      <c r="B38" s="134" t="s">
        <v>89</v>
      </c>
      <c r="C38" s="145">
        <v>20812</v>
      </c>
      <c r="D38" s="136">
        <v>8923</v>
      </c>
      <c r="E38" s="136" t="s">
        <v>415</v>
      </c>
      <c r="F38" s="136" t="s">
        <v>15</v>
      </c>
      <c r="G38" s="137" t="str">
        <f>VLOOKUP(F38,lookup!B:C,2,FALSE)</f>
        <v>Engineering</v>
      </c>
      <c r="H38" s="136" t="s">
        <v>398</v>
      </c>
      <c r="I38" s="136" t="s">
        <v>399</v>
      </c>
      <c r="J38" s="136" t="s">
        <v>430</v>
      </c>
      <c r="K38" s="136" t="s">
        <v>101</v>
      </c>
      <c r="L38" s="136" t="s">
        <v>155</v>
      </c>
      <c r="M38" s="138">
        <v>485000</v>
      </c>
      <c r="N38" s="139">
        <v>486135</v>
      </c>
      <c r="O38" s="139">
        <v>405008.05</v>
      </c>
      <c r="P38" s="139">
        <v>405008.05</v>
      </c>
      <c r="Q38" s="139">
        <v>377024.69</v>
      </c>
      <c r="R38" s="140"/>
      <c r="S38" s="141"/>
      <c r="T38" s="142"/>
      <c r="U38" s="132">
        <f>'20812'!H9+'20812'!H10+'20812'!H11</f>
        <v>486135</v>
      </c>
      <c r="V38" s="127"/>
      <c r="W38" s="127">
        <v>0</v>
      </c>
      <c r="X38" s="128">
        <f t="shared" si="0"/>
        <v>0</v>
      </c>
      <c r="Y38" s="136" t="s">
        <v>634</v>
      </c>
      <c r="Z38" s="100">
        <f>VLOOKUP(C38,'Summary_by FY'!$C$1:$C$998,1,FALSE)</f>
        <v>20812</v>
      </c>
    </row>
    <row r="39" spans="1:26" s="130" customFormat="1" outlineLevel="1" x14ac:dyDescent="0.4">
      <c r="A39" s="115">
        <f t="shared" si="1"/>
        <v>36</v>
      </c>
      <c r="B39" s="116" t="s">
        <v>90</v>
      </c>
      <c r="C39" s="146">
        <v>20831</v>
      </c>
      <c r="D39" s="118">
        <v>8230</v>
      </c>
      <c r="E39" s="118"/>
      <c r="F39" s="118" t="s">
        <v>10</v>
      </c>
      <c r="G39" s="119" t="str">
        <f>VLOOKUP(F39,lookup!B:C,2,FALSE)</f>
        <v>Arts &amp; Science</v>
      </c>
      <c r="H39" s="118" t="s">
        <v>299</v>
      </c>
      <c r="I39" s="118" t="s">
        <v>300</v>
      </c>
      <c r="J39" s="118" t="s">
        <v>441</v>
      </c>
      <c r="K39" s="118" t="s">
        <v>295</v>
      </c>
      <c r="L39" s="118" t="s">
        <v>155</v>
      </c>
      <c r="M39" s="120">
        <v>24000</v>
      </c>
      <c r="N39" s="121">
        <v>24000</v>
      </c>
      <c r="O39" s="121">
        <v>24000</v>
      </c>
      <c r="P39" s="121">
        <v>24000</v>
      </c>
      <c r="Q39" s="121">
        <v>24000</v>
      </c>
      <c r="R39" s="122"/>
      <c r="S39" s="123">
        <v>0</v>
      </c>
      <c r="T39" s="124">
        <f>'20831'!H18</f>
        <v>24000</v>
      </c>
      <c r="U39" s="132">
        <v>0</v>
      </c>
      <c r="V39" s="126">
        <v>0</v>
      </c>
      <c r="W39" s="126">
        <v>0</v>
      </c>
      <c r="X39" s="128">
        <f t="shared" si="0"/>
        <v>0</v>
      </c>
      <c r="Y39" s="136" t="s">
        <v>341</v>
      </c>
      <c r="Z39" s="100">
        <f>VLOOKUP(C39,'Summary_by FY'!$C$1:$C$998,1,FALSE)</f>
        <v>20831</v>
      </c>
    </row>
    <row r="40" spans="1:26" s="130" customFormat="1" outlineLevel="1" x14ac:dyDescent="0.4">
      <c r="A40" s="115">
        <f t="shared" si="1"/>
        <v>37</v>
      </c>
      <c r="B40" s="116" t="s">
        <v>90</v>
      </c>
      <c r="C40" s="146">
        <v>20832</v>
      </c>
      <c r="D40" s="118">
        <v>8220</v>
      </c>
      <c r="E40" s="118"/>
      <c r="F40" s="118" t="s">
        <v>10</v>
      </c>
      <c r="G40" s="119" t="str">
        <f>VLOOKUP(F40,lookup!B:C,2,FALSE)</f>
        <v>Arts &amp; Science</v>
      </c>
      <c r="H40" s="118" t="s">
        <v>197</v>
      </c>
      <c r="I40" s="118" t="s">
        <v>294</v>
      </c>
      <c r="J40" s="118" t="s">
        <v>441</v>
      </c>
      <c r="K40" s="118" t="s">
        <v>295</v>
      </c>
      <c r="L40" s="118" t="s">
        <v>155</v>
      </c>
      <c r="M40" s="120">
        <v>24000</v>
      </c>
      <c r="N40" s="121">
        <v>24000</v>
      </c>
      <c r="O40" s="121">
        <v>24000</v>
      </c>
      <c r="P40" s="121">
        <v>24000</v>
      </c>
      <c r="Q40" s="121">
        <v>24000</v>
      </c>
      <c r="R40" s="122"/>
      <c r="S40" s="123">
        <v>0</v>
      </c>
      <c r="T40" s="124">
        <f>'20832'!H18</f>
        <v>24000</v>
      </c>
      <c r="U40" s="132">
        <v>0</v>
      </c>
      <c r="V40" s="126">
        <v>0</v>
      </c>
      <c r="W40" s="126">
        <v>0</v>
      </c>
      <c r="X40" s="128">
        <f t="shared" si="0"/>
        <v>0</v>
      </c>
      <c r="Y40" s="136" t="s">
        <v>342</v>
      </c>
      <c r="Z40" s="100">
        <f>VLOOKUP(C40,'Summary_by FY'!$C$1:$C$998,1,FALSE)</f>
        <v>20832</v>
      </c>
    </row>
    <row r="41" spans="1:26" s="130" customFormat="1" outlineLevel="1" x14ac:dyDescent="0.4">
      <c r="A41" s="115">
        <f t="shared" si="1"/>
        <v>38</v>
      </c>
      <c r="B41" s="116" t="s">
        <v>90</v>
      </c>
      <c r="C41" s="146">
        <v>20833</v>
      </c>
      <c r="D41" s="118">
        <v>8215</v>
      </c>
      <c r="E41" s="118"/>
      <c r="F41" s="118" t="s">
        <v>10</v>
      </c>
      <c r="G41" s="119" t="str">
        <f>VLOOKUP(F41,lookup!B:C,2,FALSE)</f>
        <v>Arts &amp; Science</v>
      </c>
      <c r="H41" s="118" t="s">
        <v>198</v>
      </c>
      <c r="I41" s="118" t="s">
        <v>400</v>
      </c>
      <c r="J41" s="118" t="s">
        <v>441</v>
      </c>
      <c r="K41" s="118" t="s">
        <v>295</v>
      </c>
      <c r="L41" s="118" t="s">
        <v>155</v>
      </c>
      <c r="M41" s="120">
        <v>24000</v>
      </c>
      <c r="N41" s="121">
        <v>24000</v>
      </c>
      <c r="O41" s="121">
        <v>24000</v>
      </c>
      <c r="P41" s="121">
        <v>24000</v>
      </c>
      <c r="Q41" s="121">
        <v>24000</v>
      </c>
      <c r="R41" s="122"/>
      <c r="S41" s="123">
        <v>0</v>
      </c>
      <c r="T41" s="124">
        <f>'20833'!H18</f>
        <v>24000</v>
      </c>
      <c r="U41" s="132">
        <v>0</v>
      </c>
      <c r="V41" s="126">
        <v>0</v>
      </c>
      <c r="W41" s="126">
        <v>0</v>
      </c>
      <c r="X41" s="128">
        <f t="shared" si="0"/>
        <v>0</v>
      </c>
      <c r="Y41" s="136" t="s">
        <v>375</v>
      </c>
      <c r="Z41" s="100">
        <f>VLOOKUP(C41,'Summary_by FY'!$C$1:$C$998,1,FALSE)</f>
        <v>20833</v>
      </c>
    </row>
    <row r="42" spans="1:26" s="143" customFormat="1" x14ac:dyDescent="0.4">
      <c r="A42" s="133">
        <f t="shared" si="1"/>
        <v>39</v>
      </c>
      <c r="B42" s="134" t="s">
        <v>89</v>
      </c>
      <c r="C42" s="145">
        <v>20857</v>
      </c>
      <c r="D42" s="136">
        <v>8427</v>
      </c>
      <c r="E42" s="136" t="s">
        <v>314</v>
      </c>
      <c r="F42" s="136" t="s">
        <v>28</v>
      </c>
      <c r="G42" s="137" t="str">
        <f>VLOOKUP(F42,lookup!B:C,2,FALSE)</f>
        <v>Peabody</v>
      </c>
      <c r="H42" s="136" t="s">
        <v>313</v>
      </c>
      <c r="I42" s="136" t="s">
        <v>312</v>
      </c>
      <c r="J42" s="136" t="s">
        <v>430</v>
      </c>
      <c r="K42" s="136" t="s">
        <v>558</v>
      </c>
      <c r="L42" s="136" t="s">
        <v>148</v>
      </c>
      <c r="M42" s="138">
        <v>499184</v>
      </c>
      <c r="N42" s="139">
        <v>499184</v>
      </c>
      <c r="O42" s="139">
        <v>483144.67</v>
      </c>
      <c r="P42" s="139">
        <v>483144.67</v>
      </c>
      <c r="Q42" s="139">
        <v>481346.67</v>
      </c>
      <c r="R42" s="140">
        <v>16039.33</v>
      </c>
      <c r="S42" s="141">
        <v>0</v>
      </c>
      <c r="T42" s="142">
        <f>'20857'!H9+'20857'!H10+'20857'!H11</f>
        <v>499184</v>
      </c>
      <c r="U42" s="132">
        <v>0</v>
      </c>
      <c r="V42" s="127">
        <v>0</v>
      </c>
      <c r="W42" s="127">
        <v>0</v>
      </c>
      <c r="X42" s="128">
        <f t="shared" si="0"/>
        <v>0</v>
      </c>
      <c r="Y42" s="136" t="s">
        <v>602</v>
      </c>
      <c r="Z42" s="100">
        <f>VLOOKUP(C42,'Summary_by FY'!$C$1:$C$998,1,FALSE)</f>
        <v>20857</v>
      </c>
    </row>
    <row r="43" spans="1:26" s="130" customFormat="1" outlineLevel="1" x14ac:dyDescent="0.4">
      <c r="A43" s="115">
        <f t="shared" si="1"/>
        <v>40</v>
      </c>
      <c r="B43" s="116" t="s">
        <v>89</v>
      </c>
      <c r="C43" s="146">
        <v>20884</v>
      </c>
      <c r="D43" s="118">
        <v>8807</v>
      </c>
      <c r="E43" s="118" t="s">
        <v>373</v>
      </c>
      <c r="F43" s="118" t="s">
        <v>19</v>
      </c>
      <c r="G43" s="119" t="str">
        <f>VLOOKUP(F43,lookup!B:C,2,FALSE)</f>
        <v>Law</v>
      </c>
      <c r="H43" s="118" t="s">
        <v>258</v>
      </c>
      <c r="I43" s="118" t="s">
        <v>323</v>
      </c>
      <c r="J43" s="118" t="s">
        <v>441</v>
      </c>
      <c r="K43" s="118" t="s">
        <v>295</v>
      </c>
      <c r="L43" s="118" t="s">
        <v>148</v>
      </c>
      <c r="M43" s="120">
        <v>675650</v>
      </c>
      <c r="N43" s="121">
        <v>675650</v>
      </c>
      <c r="O43" s="121">
        <v>480318</v>
      </c>
      <c r="P43" s="121">
        <v>480318</v>
      </c>
      <c r="Q43" s="121">
        <v>480318</v>
      </c>
      <c r="R43" s="122">
        <v>195332</v>
      </c>
      <c r="S43" s="123">
        <v>0</v>
      </c>
      <c r="T43" s="124">
        <f>'20884'!H9</f>
        <v>675650</v>
      </c>
      <c r="U43" s="132">
        <v>0</v>
      </c>
      <c r="V43" s="126">
        <f>'20884'!H10</f>
        <v>-195332</v>
      </c>
      <c r="W43" s="126">
        <v>0</v>
      </c>
      <c r="X43" s="128">
        <f t="shared" si="0"/>
        <v>-195332</v>
      </c>
      <c r="Y43" s="136" t="s">
        <v>419</v>
      </c>
      <c r="Z43" s="100">
        <f>VLOOKUP(C43,'Summary_by FY'!$C$1:$C$998,1,FALSE)</f>
        <v>20884</v>
      </c>
    </row>
    <row r="44" spans="1:26" s="143" customFormat="1" x14ac:dyDescent="0.4">
      <c r="A44" s="133">
        <f t="shared" si="1"/>
        <v>41</v>
      </c>
      <c r="B44" s="134" t="s">
        <v>90</v>
      </c>
      <c r="C44" s="145">
        <v>20885</v>
      </c>
      <c r="D44" s="136">
        <v>8676</v>
      </c>
      <c r="E44" s="136"/>
      <c r="F44" s="136" t="s">
        <v>10</v>
      </c>
      <c r="G44" s="137" t="str">
        <f>VLOOKUP(F44,lookup!B:C,2,FALSE)</f>
        <v>Arts &amp; Science</v>
      </c>
      <c r="H44" s="136" t="s">
        <v>325</v>
      </c>
      <c r="I44" s="136" t="s">
        <v>328</v>
      </c>
      <c r="J44" s="136" t="s">
        <v>430</v>
      </c>
      <c r="K44" s="136" t="s">
        <v>248</v>
      </c>
      <c r="L44" s="136" t="s">
        <v>155</v>
      </c>
      <c r="M44" s="138">
        <v>130000</v>
      </c>
      <c r="N44" s="139">
        <v>143053.4</v>
      </c>
      <c r="O44" s="139">
        <v>123743.89</v>
      </c>
      <c r="P44" s="139">
        <v>123743.89</v>
      </c>
      <c r="Q44" s="139">
        <v>123743.89</v>
      </c>
      <c r="R44" s="140">
        <v>19309.509999999998</v>
      </c>
      <c r="S44" s="141">
        <v>0</v>
      </c>
      <c r="T44" s="142">
        <f>'20885'!H9+'20885'!H10</f>
        <v>113053.4</v>
      </c>
      <c r="U44" s="132">
        <f>'20885'!H11</f>
        <v>30000</v>
      </c>
      <c r="V44" s="127">
        <f>'20885'!H12</f>
        <v>-19309.509999999998</v>
      </c>
      <c r="W44" s="127">
        <v>0</v>
      </c>
      <c r="X44" s="128">
        <f t="shared" si="0"/>
        <v>-19309.509999999998</v>
      </c>
      <c r="Y44" s="136" t="s">
        <v>562</v>
      </c>
      <c r="Z44" s="100">
        <f>VLOOKUP(C44,'Summary_by FY'!$C$1:$C$998,1,FALSE)</f>
        <v>20885</v>
      </c>
    </row>
    <row r="45" spans="1:26" s="130" customFormat="1" outlineLevel="1" x14ac:dyDescent="0.4">
      <c r="A45" s="115">
        <f t="shared" si="1"/>
        <v>42</v>
      </c>
      <c r="B45" s="116" t="s">
        <v>90</v>
      </c>
      <c r="C45" s="117">
        <v>20911</v>
      </c>
      <c r="D45" s="118">
        <v>8819</v>
      </c>
      <c r="E45" s="118"/>
      <c r="F45" s="118" t="s">
        <v>10</v>
      </c>
      <c r="G45" s="119" t="str">
        <f>VLOOKUP(F45,lookup!B:C,2,FALSE)</f>
        <v>Arts &amp; Science</v>
      </c>
      <c r="H45" s="118" t="s">
        <v>241</v>
      </c>
      <c r="I45" s="118" t="s">
        <v>333</v>
      </c>
      <c r="J45" s="118" t="s">
        <v>441</v>
      </c>
      <c r="K45" s="118" t="s">
        <v>295</v>
      </c>
      <c r="L45" s="118" t="s">
        <v>148</v>
      </c>
      <c r="M45" s="120">
        <v>61045</v>
      </c>
      <c r="N45" s="121">
        <v>61045</v>
      </c>
      <c r="O45" s="121">
        <v>54613</v>
      </c>
      <c r="P45" s="121">
        <v>54613</v>
      </c>
      <c r="Q45" s="121">
        <v>54613</v>
      </c>
      <c r="R45" s="122"/>
      <c r="S45" s="123">
        <v>0</v>
      </c>
      <c r="T45" s="124">
        <f>'20911'!H9+'20911'!H10</f>
        <v>61045</v>
      </c>
      <c r="U45" s="132">
        <v>0</v>
      </c>
      <c r="V45" s="126">
        <f>'20911'!H11</f>
        <v>-6432</v>
      </c>
      <c r="W45" s="126">
        <v>0</v>
      </c>
      <c r="X45" s="128">
        <f t="shared" si="0"/>
        <v>-6432</v>
      </c>
      <c r="Y45" s="136" t="s">
        <v>450</v>
      </c>
      <c r="Z45" s="100">
        <f>VLOOKUP(C45,'Summary_by FY'!$C$1:$C$998,1,FALSE)</f>
        <v>20911</v>
      </c>
    </row>
    <row r="46" spans="1:26" s="143" customFormat="1" x14ac:dyDescent="0.4">
      <c r="A46" s="133">
        <f t="shared" si="1"/>
        <v>43</v>
      </c>
      <c r="B46" s="134" t="s">
        <v>90</v>
      </c>
      <c r="C46" s="145">
        <v>20912</v>
      </c>
      <c r="D46" s="136">
        <v>8822</v>
      </c>
      <c r="E46" s="136"/>
      <c r="F46" s="136" t="s">
        <v>10</v>
      </c>
      <c r="G46" s="137" t="str">
        <f>VLOOKUP(F46,lookup!B:C,2,FALSE)</f>
        <v>Arts &amp; Science</v>
      </c>
      <c r="H46" s="136" t="s">
        <v>147</v>
      </c>
      <c r="I46" s="136" t="s">
        <v>334</v>
      </c>
      <c r="J46" s="136" t="s">
        <v>430</v>
      </c>
      <c r="K46" s="136" t="s">
        <v>248</v>
      </c>
      <c r="L46" s="136" t="s">
        <v>148</v>
      </c>
      <c r="M46" s="138">
        <v>59798</v>
      </c>
      <c r="N46" s="139">
        <v>59798</v>
      </c>
      <c r="O46" s="139">
        <v>53366</v>
      </c>
      <c r="P46" s="139">
        <v>53366</v>
      </c>
      <c r="Q46" s="139">
        <v>53366</v>
      </c>
      <c r="R46" s="140">
        <v>6432</v>
      </c>
      <c r="S46" s="141">
        <v>0</v>
      </c>
      <c r="T46" s="142">
        <f>'20912'!H9+'20912'!H10</f>
        <v>59798</v>
      </c>
      <c r="U46" s="132">
        <v>0</v>
      </c>
      <c r="V46" s="127">
        <v>0</v>
      </c>
      <c r="W46" s="127">
        <v>0</v>
      </c>
      <c r="X46" s="128">
        <f t="shared" si="0"/>
        <v>0</v>
      </c>
      <c r="Y46" s="136" t="s">
        <v>603</v>
      </c>
      <c r="Z46" s="100">
        <f>VLOOKUP(C46,'Summary_by FY'!$C$1:$C$998,1,FALSE)</f>
        <v>20912</v>
      </c>
    </row>
    <row r="47" spans="1:26" s="143" customFormat="1" x14ac:dyDescent="0.4">
      <c r="A47" s="133">
        <f t="shared" si="1"/>
        <v>44</v>
      </c>
      <c r="B47" s="134" t="s">
        <v>90</v>
      </c>
      <c r="C47" s="145">
        <v>20913</v>
      </c>
      <c r="D47" s="136">
        <v>8818</v>
      </c>
      <c r="E47" s="136"/>
      <c r="F47" s="136" t="s">
        <v>10</v>
      </c>
      <c r="G47" s="137" t="str">
        <f>VLOOKUP(F47,lookup!B:C,2,FALSE)</f>
        <v>Arts &amp; Science</v>
      </c>
      <c r="H47" s="136" t="s">
        <v>197</v>
      </c>
      <c r="I47" s="136" t="s">
        <v>335</v>
      </c>
      <c r="J47" s="136" t="s">
        <v>430</v>
      </c>
      <c r="K47" s="136" t="s">
        <v>248</v>
      </c>
      <c r="L47" s="136" t="s">
        <v>148</v>
      </c>
      <c r="M47" s="138">
        <v>96612</v>
      </c>
      <c r="N47" s="139">
        <v>96612</v>
      </c>
      <c r="O47" s="139">
        <v>86900</v>
      </c>
      <c r="P47" s="139">
        <v>86900</v>
      </c>
      <c r="Q47" s="139">
        <v>86900</v>
      </c>
      <c r="R47" s="140">
        <v>9712</v>
      </c>
      <c r="S47" s="141">
        <v>0</v>
      </c>
      <c r="T47" s="142">
        <f>'20913'!H9+'20913'!H10</f>
        <v>96612</v>
      </c>
      <c r="U47" s="132">
        <v>0</v>
      </c>
      <c r="V47" s="127">
        <v>0</v>
      </c>
      <c r="W47" s="127">
        <v>0</v>
      </c>
      <c r="X47" s="128">
        <f t="shared" si="0"/>
        <v>0</v>
      </c>
      <c r="Y47" s="136" t="s">
        <v>462</v>
      </c>
      <c r="Z47" s="100">
        <f>VLOOKUP(C47,'Summary_by FY'!$C$1:$C$998,1,FALSE)</f>
        <v>20913</v>
      </c>
    </row>
    <row r="48" spans="1:26" s="143" customFormat="1" x14ac:dyDescent="0.4">
      <c r="A48" s="133">
        <f t="shared" si="1"/>
        <v>45</v>
      </c>
      <c r="B48" s="134" t="s">
        <v>89</v>
      </c>
      <c r="C48" s="145">
        <v>20922</v>
      </c>
      <c r="D48" s="136">
        <v>8720</v>
      </c>
      <c r="E48" s="136" t="s">
        <v>376</v>
      </c>
      <c r="F48" s="136" t="s">
        <v>10</v>
      </c>
      <c r="G48" s="137" t="str">
        <f>VLOOKUP(F48,lookup!B:C,2,FALSE)</f>
        <v>Arts &amp; Science</v>
      </c>
      <c r="H48" s="136" t="s">
        <v>374</v>
      </c>
      <c r="I48" s="136" t="s">
        <v>378</v>
      </c>
      <c r="J48" s="136" t="s">
        <v>430</v>
      </c>
      <c r="K48" s="136" t="s">
        <v>276</v>
      </c>
      <c r="L48" s="136" t="s">
        <v>301</v>
      </c>
      <c r="M48" s="138">
        <v>170000</v>
      </c>
      <c r="N48" s="139">
        <v>197150</v>
      </c>
      <c r="O48" s="139">
        <v>170000</v>
      </c>
      <c r="P48" s="139">
        <v>170000</v>
      </c>
      <c r="Q48" s="139">
        <v>170000</v>
      </c>
      <c r="R48" s="140">
        <v>27150</v>
      </c>
      <c r="S48" s="141">
        <v>0</v>
      </c>
      <c r="T48" s="142">
        <f>'20922'!H9</f>
        <v>197150</v>
      </c>
      <c r="U48" s="132">
        <v>0</v>
      </c>
      <c r="V48" s="127">
        <v>0</v>
      </c>
      <c r="W48" s="127">
        <v>0</v>
      </c>
      <c r="X48" s="128">
        <f t="shared" si="0"/>
        <v>0</v>
      </c>
      <c r="Y48" s="136" t="s">
        <v>604</v>
      </c>
      <c r="Z48" s="100">
        <f>VLOOKUP(C48,'Summary_by FY'!$C$1:$C$998,1,FALSE)</f>
        <v>20922</v>
      </c>
    </row>
    <row r="49" spans="1:26" s="130" customFormat="1" outlineLevel="1" x14ac:dyDescent="0.4">
      <c r="A49" s="115">
        <f t="shared" si="1"/>
        <v>46</v>
      </c>
      <c r="B49" s="116" t="s">
        <v>90</v>
      </c>
      <c r="C49" s="146">
        <v>20924</v>
      </c>
      <c r="D49" s="118">
        <v>8737</v>
      </c>
      <c r="E49" s="118"/>
      <c r="F49" s="118" t="s">
        <v>25</v>
      </c>
      <c r="G49" s="119" t="str">
        <f>VLOOKUP(F49,lookup!B:C,2,FALSE)</f>
        <v>School of Nursing</v>
      </c>
      <c r="H49" s="118" t="s">
        <v>349</v>
      </c>
      <c r="I49" s="118" t="s">
        <v>350</v>
      </c>
      <c r="J49" s="118" t="s">
        <v>441</v>
      </c>
      <c r="K49" s="118" t="s">
        <v>295</v>
      </c>
      <c r="L49" s="118" t="s">
        <v>148</v>
      </c>
      <c r="M49" s="120">
        <v>30570</v>
      </c>
      <c r="N49" s="121">
        <v>30570</v>
      </c>
      <c r="O49" s="121">
        <v>24500</v>
      </c>
      <c r="P49" s="121">
        <v>24500</v>
      </c>
      <c r="Q49" s="121">
        <v>24500</v>
      </c>
      <c r="R49" s="122"/>
      <c r="S49" s="123">
        <v>0</v>
      </c>
      <c r="T49" s="124">
        <f>'20924'!H9</f>
        <v>30570</v>
      </c>
      <c r="U49" s="125">
        <f>'20924'!H10</f>
        <v>-6070</v>
      </c>
      <c r="V49" s="126">
        <v>0</v>
      </c>
      <c r="W49" s="126">
        <v>0</v>
      </c>
      <c r="X49" s="128">
        <f t="shared" si="0"/>
        <v>0</v>
      </c>
      <c r="Y49" s="118" t="s">
        <v>420</v>
      </c>
      <c r="Z49" s="131">
        <f>VLOOKUP(C49,'Summary_by FY'!$C$1:$C$998,1,FALSE)</f>
        <v>20924</v>
      </c>
    </row>
    <row r="50" spans="1:26" s="143" customFormat="1" x14ac:dyDescent="0.4">
      <c r="A50" s="133">
        <f t="shared" si="1"/>
        <v>47</v>
      </c>
      <c r="B50" s="134" t="s">
        <v>89</v>
      </c>
      <c r="C50" s="145">
        <v>20925</v>
      </c>
      <c r="D50" s="136">
        <v>8260</v>
      </c>
      <c r="E50" s="136" t="s">
        <v>457</v>
      </c>
      <c r="F50" s="136" t="s">
        <v>12</v>
      </c>
      <c r="G50" s="137" t="str">
        <f>VLOOKUP(F50,lookup!B:C,2,FALSE)</f>
        <v>Blair</v>
      </c>
      <c r="H50" s="136" t="s">
        <v>149</v>
      </c>
      <c r="I50" s="136" t="s">
        <v>352</v>
      </c>
      <c r="J50" s="136" t="s">
        <v>430</v>
      </c>
      <c r="K50" s="136" t="s">
        <v>101</v>
      </c>
      <c r="L50" s="136" t="s">
        <v>301</v>
      </c>
      <c r="M50" s="138">
        <v>2125000</v>
      </c>
      <c r="N50" s="139">
        <v>2125000</v>
      </c>
      <c r="O50" s="139">
        <v>1860577</v>
      </c>
      <c r="P50" s="139">
        <v>1860577</v>
      </c>
      <c r="Q50" s="139">
        <v>287445</v>
      </c>
      <c r="R50" s="140"/>
      <c r="S50" s="141">
        <v>0</v>
      </c>
      <c r="T50" s="142">
        <v>0</v>
      </c>
      <c r="U50" s="132">
        <f>'20925'!H9</f>
        <v>409000</v>
      </c>
      <c r="V50" s="127">
        <f>'20925'!H10</f>
        <v>1716000</v>
      </c>
      <c r="W50" s="127">
        <v>0</v>
      </c>
      <c r="X50" s="128">
        <f t="shared" si="0"/>
        <v>1716000</v>
      </c>
      <c r="Y50" s="136" t="s">
        <v>635</v>
      </c>
      <c r="Z50" s="100">
        <f>VLOOKUP(C50,'Summary_by FY'!$C$1:$C$998,1,FALSE)</f>
        <v>20925</v>
      </c>
    </row>
    <row r="51" spans="1:26" s="143" customFormat="1" x14ac:dyDescent="0.4">
      <c r="A51" s="133">
        <f t="shared" si="1"/>
        <v>48</v>
      </c>
      <c r="B51" s="134" t="s">
        <v>90</v>
      </c>
      <c r="C51" s="145">
        <v>20936</v>
      </c>
      <c r="D51" s="136">
        <v>8814</v>
      </c>
      <c r="E51" s="136"/>
      <c r="F51" s="136" t="s">
        <v>10</v>
      </c>
      <c r="G51" s="137" t="str">
        <f>VLOOKUP(F51,lookup!B:C,2,FALSE)</f>
        <v>Arts &amp; Science</v>
      </c>
      <c r="H51" s="136" t="s">
        <v>197</v>
      </c>
      <c r="I51" s="136" t="s">
        <v>353</v>
      </c>
      <c r="J51" s="136" t="s">
        <v>430</v>
      </c>
      <c r="K51" s="136" t="s">
        <v>276</v>
      </c>
      <c r="L51" s="136" t="s">
        <v>301</v>
      </c>
      <c r="M51" s="138">
        <v>405000</v>
      </c>
      <c r="N51" s="139">
        <v>404655.91</v>
      </c>
      <c r="O51" s="139">
        <v>357255.91</v>
      </c>
      <c r="P51" s="139">
        <v>357255.91</v>
      </c>
      <c r="Q51" s="139">
        <v>357255.91</v>
      </c>
      <c r="R51" s="140">
        <v>47400</v>
      </c>
      <c r="S51" s="141">
        <v>0</v>
      </c>
      <c r="T51" s="142">
        <f>'20936'!H9</f>
        <v>404655.91</v>
      </c>
      <c r="U51" s="132">
        <v>0</v>
      </c>
      <c r="V51" s="127">
        <v>0</v>
      </c>
      <c r="W51" s="127">
        <v>0</v>
      </c>
      <c r="X51" s="128">
        <f t="shared" si="0"/>
        <v>0</v>
      </c>
      <c r="Y51" s="136" t="s">
        <v>605</v>
      </c>
      <c r="Z51" s="100">
        <f>VLOOKUP(C51,'Summary_by FY'!$C$1:$C$998,1,FALSE)</f>
        <v>20936</v>
      </c>
    </row>
    <row r="52" spans="1:26" s="143" customFormat="1" x14ac:dyDescent="0.4">
      <c r="A52" s="133">
        <f t="shared" si="1"/>
        <v>49</v>
      </c>
      <c r="B52" s="134" t="s">
        <v>89</v>
      </c>
      <c r="C52" s="145">
        <v>20940</v>
      </c>
      <c r="D52" s="136">
        <v>8412</v>
      </c>
      <c r="E52" s="136" t="s">
        <v>416</v>
      </c>
      <c r="F52" s="136" t="s">
        <v>15</v>
      </c>
      <c r="G52" s="137" t="str">
        <f>VLOOKUP(F52,lookup!B:C,2,FALSE)</f>
        <v>Engineering</v>
      </c>
      <c r="H52" s="136" t="s">
        <v>162</v>
      </c>
      <c r="I52" s="136" t="s">
        <v>354</v>
      </c>
      <c r="J52" s="136" t="s">
        <v>430</v>
      </c>
      <c r="K52" s="136" t="s">
        <v>248</v>
      </c>
      <c r="L52" s="136" t="s">
        <v>155</v>
      </c>
      <c r="M52" s="138">
        <v>310000</v>
      </c>
      <c r="N52" s="139">
        <v>309548.64</v>
      </c>
      <c r="O52" s="139">
        <v>298567.26</v>
      </c>
      <c r="P52" s="139">
        <v>298567.26</v>
      </c>
      <c r="Q52" s="139">
        <v>298567.26</v>
      </c>
      <c r="R52" s="140">
        <v>10981.38</v>
      </c>
      <c r="S52" s="141">
        <v>0</v>
      </c>
      <c r="T52" s="142">
        <v>0</v>
      </c>
      <c r="U52" s="132">
        <f>'20940'!H9+'20940'!H10</f>
        <v>309548.64</v>
      </c>
      <c r="V52" s="127">
        <v>0</v>
      </c>
      <c r="W52" s="127">
        <v>0</v>
      </c>
      <c r="X52" s="128">
        <f t="shared" si="0"/>
        <v>0</v>
      </c>
      <c r="Y52" s="136" t="s">
        <v>563</v>
      </c>
      <c r="Z52" s="100">
        <f>VLOOKUP(C52,'Summary_by FY'!$C$1:$C$998,1,FALSE)</f>
        <v>20940</v>
      </c>
    </row>
    <row r="53" spans="1:26" s="130" customFormat="1" outlineLevel="1" x14ac:dyDescent="0.4">
      <c r="A53" s="115">
        <f t="shared" si="1"/>
        <v>50</v>
      </c>
      <c r="B53" s="116" t="s">
        <v>90</v>
      </c>
      <c r="C53" s="146">
        <v>20945</v>
      </c>
      <c r="D53" s="118">
        <v>8905</v>
      </c>
      <c r="E53" s="118"/>
      <c r="F53" s="118" t="s">
        <v>367</v>
      </c>
      <c r="G53" s="119" t="str">
        <f>VLOOKUP(F53,lookup!B:C,2,FALSE)</f>
        <v>Other</v>
      </c>
      <c r="H53" s="118" t="s">
        <v>332</v>
      </c>
      <c r="I53" s="118" t="s">
        <v>360</v>
      </c>
      <c r="J53" s="118" t="s">
        <v>441</v>
      </c>
      <c r="K53" s="118" t="s">
        <v>295</v>
      </c>
      <c r="L53" s="118" t="s">
        <v>155</v>
      </c>
      <c r="M53" s="120">
        <v>99000</v>
      </c>
      <c r="N53" s="121">
        <v>99000</v>
      </c>
      <c r="O53" s="121">
        <v>82897</v>
      </c>
      <c r="P53" s="121">
        <v>82897</v>
      </c>
      <c r="Q53" s="121">
        <v>70200</v>
      </c>
      <c r="R53" s="122">
        <v>16103</v>
      </c>
      <c r="S53" s="123">
        <v>0</v>
      </c>
      <c r="T53" s="124">
        <f>'20945'!H9</f>
        <v>99000</v>
      </c>
      <c r="U53" s="125">
        <v>0</v>
      </c>
      <c r="V53" s="126">
        <f>'20945'!H10</f>
        <v>-28800</v>
      </c>
      <c r="W53" s="126">
        <v>0</v>
      </c>
      <c r="X53" s="128">
        <f t="shared" si="0"/>
        <v>-28800</v>
      </c>
      <c r="Y53" s="118" t="s">
        <v>421</v>
      </c>
      <c r="Z53" s="131">
        <f>VLOOKUP(C53,'Summary_by FY'!$C$1:$C$998,1,FALSE)</f>
        <v>20945</v>
      </c>
    </row>
    <row r="54" spans="1:26" s="143" customFormat="1" x14ac:dyDescent="0.4">
      <c r="A54" s="133">
        <f t="shared" si="1"/>
        <v>51</v>
      </c>
      <c r="B54" s="134" t="s">
        <v>89</v>
      </c>
      <c r="C54" s="145">
        <v>20958</v>
      </c>
      <c r="D54" s="136">
        <v>1642</v>
      </c>
      <c r="E54" s="136" t="s">
        <v>377</v>
      </c>
      <c r="F54" s="39" t="s">
        <v>10</v>
      </c>
      <c r="G54" s="137" t="str">
        <f>VLOOKUP(F54,lookup!B:C,2,FALSE)</f>
        <v>Arts &amp; Science</v>
      </c>
      <c r="H54" s="136" t="s">
        <v>364</v>
      </c>
      <c r="I54" s="46" t="s">
        <v>365</v>
      </c>
      <c r="J54" s="46" t="s">
        <v>430</v>
      </c>
      <c r="K54" s="136" t="s">
        <v>558</v>
      </c>
      <c r="L54" s="136" t="s">
        <v>148</v>
      </c>
      <c r="M54" s="138">
        <v>290000</v>
      </c>
      <c r="N54" s="139">
        <v>261629</v>
      </c>
      <c r="O54" s="139">
        <v>239133</v>
      </c>
      <c r="P54" s="139">
        <v>239133</v>
      </c>
      <c r="Q54" s="139">
        <v>137776.91</v>
      </c>
      <c r="R54" s="140"/>
      <c r="S54" s="141">
        <v>0</v>
      </c>
      <c r="T54" s="142">
        <f>'20958'!H9</f>
        <v>18175</v>
      </c>
      <c r="U54" s="132">
        <f>'20958'!H10</f>
        <v>243454</v>
      </c>
      <c r="V54" s="127">
        <v>0</v>
      </c>
      <c r="W54" s="127">
        <v>0</v>
      </c>
      <c r="X54" s="128">
        <f t="shared" si="0"/>
        <v>0</v>
      </c>
      <c r="Y54" s="136" t="s">
        <v>616</v>
      </c>
      <c r="Z54" s="100">
        <f>VLOOKUP(C54,'Summary_by FY'!$C$1:$C$998,1,FALSE)</f>
        <v>20958</v>
      </c>
    </row>
    <row r="55" spans="1:26" s="143" customFormat="1" x14ac:dyDescent="0.4">
      <c r="A55" s="133">
        <f t="shared" si="1"/>
        <v>52</v>
      </c>
      <c r="B55" s="134" t="s">
        <v>89</v>
      </c>
      <c r="C55" s="145">
        <v>20962</v>
      </c>
      <c r="D55" s="136">
        <v>8754</v>
      </c>
      <c r="E55" s="136"/>
      <c r="F55" s="136" t="s">
        <v>10</v>
      </c>
      <c r="G55" s="137" t="str">
        <f>VLOOKUP(F55,lookup!B:C,2,FALSE)</f>
        <v>Arts &amp; Science</v>
      </c>
      <c r="H55" s="136" t="s">
        <v>374</v>
      </c>
      <c r="I55" s="143" t="s">
        <v>372</v>
      </c>
      <c r="J55" s="143" t="s">
        <v>430</v>
      </c>
      <c r="K55" s="136" t="s">
        <v>100</v>
      </c>
      <c r="L55" s="136" t="s">
        <v>148</v>
      </c>
      <c r="M55" s="138">
        <v>1750000</v>
      </c>
      <c r="N55" s="139">
        <v>1800</v>
      </c>
      <c r="O55" s="139">
        <v>1800</v>
      </c>
      <c r="P55" s="139">
        <v>1800</v>
      </c>
      <c r="Q55" s="139">
        <v>1800</v>
      </c>
      <c r="R55" s="140"/>
      <c r="S55" s="141">
        <v>0</v>
      </c>
      <c r="T55" s="142">
        <v>0</v>
      </c>
      <c r="U55" s="132">
        <f>'20962'!H9</f>
        <v>1800</v>
      </c>
      <c r="V55" s="127">
        <v>0</v>
      </c>
      <c r="W55" s="127" t="s">
        <v>205</v>
      </c>
      <c r="X55" s="128" t="str">
        <f t="shared" si="0"/>
        <v>TBD</v>
      </c>
      <c r="Y55" s="136" t="s">
        <v>636</v>
      </c>
      <c r="Z55" s="100">
        <f>VLOOKUP(C55,'Summary_by FY'!$C$1:$C$998,1,FALSE)</f>
        <v>20962</v>
      </c>
    </row>
    <row r="56" spans="1:26" s="143" customFormat="1" x14ac:dyDescent="0.4">
      <c r="A56" s="133">
        <f t="shared" si="1"/>
        <v>53</v>
      </c>
      <c r="B56" s="134" t="s">
        <v>89</v>
      </c>
      <c r="C56" s="145">
        <v>20979</v>
      </c>
      <c r="D56" s="136">
        <v>9</v>
      </c>
      <c r="E56" s="136" t="s">
        <v>458</v>
      </c>
      <c r="F56" s="136" t="s">
        <v>15</v>
      </c>
      <c r="G56" s="137" t="str">
        <f>VLOOKUP(F56,lookup!B:C,2,FALSE)</f>
        <v>Engineering</v>
      </c>
      <c r="H56" s="136" t="s">
        <v>162</v>
      </c>
      <c r="I56" s="136" t="s">
        <v>379</v>
      </c>
      <c r="J56" s="136" t="s">
        <v>430</v>
      </c>
      <c r="K56" s="136" t="s">
        <v>101</v>
      </c>
      <c r="L56" s="136" t="s">
        <v>148</v>
      </c>
      <c r="M56" s="138">
        <v>270000</v>
      </c>
      <c r="N56" s="139">
        <v>581188</v>
      </c>
      <c r="O56" s="139">
        <v>527438</v>
      </c>
      <c r="P56" s="139">
        <v>527438</v>
      </c>
      <c r="Q56" s="139">
        <v>365000</v>
      </c>
      <c r="R56" s="140"/>
      <c r="S56" s="141">
        <v>0</v>
      </c>
      <c r="T56" s="142">
        <v>0</v>
      </c>
      <c r="U56" s="132">
        <f>'20979'!H9</f>
        <v>529750</v>
      </c>
      <c r="V56" s="127">
        <f>'20979'!H10</f>
        <v>51438</v>
      </c>
      <c r="W56" s="127">
        <v>51438</v>
      </c>
      <c r="X56" s="128">
        <f t="shared" si="0"/>
        <v>102876</v>
      </c>
      <c r="Y56" s="136" t="s">
        <v>637</v>
      </c>
      <c r="Z56" s="100">
        <f>VLOOKUP(C56,'Summary_by FY'!$C$1:$C$998,1,FALSE)</f>
        <v>20979</v>
      </c>
    </row>
    <row r="57" spans="1:26" s="143" customFormat="1" x14ac:dyDescent="0.4">
      <c r="A57" s="133">
        <f t="shared" si="1"/>
        <v>54</v>
      </c>
      <c r="B57" s="134" t="s">
        <v>89</v>
      </c>
      <c r="C57" s="145">
        <v>20982</v>
      </c>
      <c r="D57" s="136">
        <v>8442</v>
      </c>
      <c r="E57" s="136" t="s">
        <v>382</v>
      </c>
      <c r="F57" s="136" t="s">
        <v>153</v>
      </c>
      <c r="G57" s="137" t="str">
        <f>VLOOKUP(F57,lookup!B:C,2,FALSE)</f>
        <v>Law</v>
      </c>
      <c r="H57" s="136" t="s">
        <v>258</v>
      </c>
      <c r="I57" s="136" t="s">
        <v>380</v>
      </c>
      <c r="J57" s="136" t="s">
        <v>430</v>
      </c>
      <c r="K57" s="136" t="s">
        <v>558</v>
      </c>
      <c r="L57" s="136" t="s">
        <v>148</v>
      </c>
      <c r="M57" s="138">
        <v>272000</v>
      </c>
      <c r="N57" s="139">
        <v>272000</v>
      </c>
      <c r="O57" s="139">
        <v>249821</v>
      </c>
      <c r="P57" s="139">
        <v>249821</v>
      </c>
      <c r="Q57" s="139">
        <v>246321</v>
      </c>
      <c r="R57" s="140">
        <v>22179</v>
      </c>
      <c r="S57" s="141">
        <v>0</v>
      </c>
      <c r="T57" s="142">
        <f>'20982'!H9</f>
        <v>18175</v>
      </c>
      <c r="U57" s="132">
        <f>'20982'!H10</f>
        <v>253825</v>
      </c>
      <c r="V57" s="127">
        <v>0</v>
      </c>
      <c r="W57" s="127">
        <v>0</v>
      </c>
      <c r="X57" s="128">
        <f t="shared" si="0"/>
        <v>0</v>
      </c>
      <c r="Y57" s="136" t="s">
        <v>602</v>
      </c>
      <c r="Z57" s="100">
        <f>VLOOKUP(C57,'Summary_by FY'!$C$1:$C$998,1,FALSE)</f>
        <v>20982</v>
      </c>
    </row>
    <row r="58" spans="1:26" s="143" customFormat="1" x14ac:dyDescent="0.4">
      <c r="A58" s="133">
        <f t="shared" si="1"/>
        <v>55</v>
      </c>
      <c r="B58" s="134" t="s">
        <v>90</v>
      </c>
      <c r="C58" s="145">
        <v>20984</v>
      </c>
      <c r="D58" s="136">
        <v>8712</v>
      </c>
      <c r="E58" s="136"/>
      <c r="F58" s="136" t="s">
        <v>10</v>
      </c>
      <c r="G58" s="137" t="str">
        <f>VLOOKUP(F58,lookup!B:C,2,FALSE)</f>
        <v>Arts &amp; Science</v>
      </c>
      <c r="H58" s="136" t="s">
        <v>197</v>
      </c>
      <c r="I58" s="136" t="s">
        <v>401</v>
      </c>
      <c r="J58" s="136" t="s">
        <v>430</v>
      </c>
      <c r="K58" s="136" t="s">
        <v>248</v>
      </c>
      <c r="L58" s="136" t="s">
        <v>150</v>
      </c>
      <c r="M58" s="138">
        <v>167000</v>
      </c>
      <c r="N58" s="139">
        <v>167000</v>
      </c>
      <c r="O58" s="139">
        <v>143484.6</v>
      </c>
      <c r="P58" s="139">
        <v>143484.6</v>
      </c>
      <c r="Q58" s="139">
        <v>136652</v>
      </c>
      <c r="R58" s="140">
        <v>23515.4</v>
      </c>
      <c r="S58" s="141">
        <v>0</v>
      </c>
      <c r="T58" s="142">
        <v>0</v>
      </c>
      <c r="U58" s="132">
        <f>'20984'!H9</f>
        <v>167000</v>
      </c>
      <c r="V58" s="127">
        <v>0</v>
      </c>
      <c r="W58" s="127">
        <v>0</v>
      </c>
      <c r="X58" s="128">
        <f t="shared" si="0"/>
        <v>0</v>
      </c>
      <c r="Y58" s="136" t="s">
        <v>463</v>
      </c>
      <c r="Z58" s="100">
        <f>VLOOKUP(C58,'Summary_by FY'!$C$1:$C$998,1,FALSE)</f>
        <v>20984</v>
      </c>
    </row>
    <row r="59" spans="1:26" s="143" customFormat="1" x14ac:dyDescent="0.4">
      <c r="A59" s="133">
        <f t="shared" si="1"/>
        <v>56</v>
      </c>
      <c r="B59" s="134" t="s">
        <v>89</v>
      </c>
      <c r="C59" s="145">
        <v>21004</v>
      </c>
      <c r="D59" s="136">
        <v>1010</v>
      </c>
      <c r="E59" s="136" t="s">
        <v>584</v>
      </c>
      <c r="F59" s="136" t="s">
        <v>413</v>
      </c>
      <c r="G59" s="137" t="str">
        <f>VLOOKUP(F59,lookup!B:C,2,FALSE)</f>
        <v>Arts &amp; Science</v>
      </c>
      <c r="H59" s="136" t="s">
        <v>198</v>
      </c>
      <c r="I59" s="136" t="s">
        <v>402</v>
      </c>
      <c r="J59" s="136" t="s">
        <v>430</v>
      </c>
      <c r="K59" s="136" t="s">
        <v>101</v>
      </c>
      <c r="L59" s="136" t="s">
        <v>301</v>
      </c>
      <c r="M59" s="138">
        <v>940000</v>
      </c>
      <c r="N59" s="139">
        <v>992453</v>
      </c>
      <c r="O59" s="139">
        <v>811113</v>
      </c>
      <c r="P59" s="139">
        <v>811113</v>
      </c>
      <c r="Q59" s="139">
        <v>37400</v>
      </c>
      <c r="R59" s="140"/>
      <c r="S59" s="141">
        <v>0</v>
      </c>
      <c r="T59" s="142">
        <v>0</v>
      </c>
      <c r="U59" s="132">
        <f>'21004'!H9+'21004'!H10</f>
        <v>992453</v>
      </c>
      <c r="V59" s="127">
        <v>0</v>
      </c>
      <c r="W59" s="127">
        <v>0</v>
      </c>
      <c r="X59" s="128">
        <f t="shared" si="0"/>
        <v>0</v>
      </c>
      <c r="Y59" s="136" t="s">
        <v>638</v>
      </c>
      <c r="Z59" s="100">
        <f>VLOOKUP(C59,'Summary_by FY'!$C$1:$C$998,1,FALSE)</f>
        <v>21004</v>
      </c>
    </row>
    <row r="60" spans="1:26" s="143" customFormat="1" x14ac:dyDescent="0.4">
      <c r="A60" s="133">
        <f t="shared" si="1"/>
        <v>57</v>
      </c>
      <c r="B60" s="134" t="s">
        <v>89</v>
      </c>
      <c r="C60" s="136">
        <v>21005</v>
      </c>
      <c r="D60" s="136"/>
      <c r="E60" s="136"/>
      <c r="F60" s="136" t="s">
        <v>10</v>
      </c>
      <c r="G60" s="137" t="str">
        <f>VLOOKUP(F60,lookup!B:C,2,FALSE)</f>
        <v>Arts &amp; Science</v>
      </c>
      <c r="H60" s="136" t="s">
        <v>198</v>
      </c>
      <c r="I60" s="136" t="s">
        <v>403</v>
      </c>
      <c r="J60" s="136" t="s">
        <v>442</v>
      </c>
      <c r="K60" s="136" t="s">
        <v>351</v>
      </c>
      <c r="L60" s="136" t="s">
        <v>301</v>
      </c>
      <c r="M60" s="138">
        <v>0</v>
      </c>
      <c r="N60" s="139">
        <v>0</v>
      </c>
      <c r="O60" s="139">
        <v>0</v>
      </c>
      <c r="P60" s="139">
        <v>0</v>
      </c>
      <c r="Q60" s="139">
        <v>0</v>
      </c>
      <c r="R60" s="140"/>
      <c r="S60" s="141">
        <v>0</v>
      </c>
      <c r="T60" s="142">
        <v>0</v>
      </c>
      <c r="U60" s="132">
        <v>0</v>
      </c>
      <c r="V60" s="127">
        <v>0</v>
      </c>
      <c r="W60" s="127">
        <v>0</v>
      </c>
      <c r="X60" s="128">
        <f t="shared" si="0"/>
        <v>0</v>
      </c>
      <c r="Y60" s="136" t="s">
        <v>422</v>
      </c>
      <c r="Z60" s="100">
        <f>VLOOKUP(C60,'Summary_by FY'!$C$1:$C$998,1,FALSE)</f>
        <v>21005</v>
      </c>
    </row>
    <row r="61" spans="1:26" s="143" customFormat="1" x14ac:dyDescent="0.4">
      <c r="A61" s="133">
        <f t="shared" si="1"/>
        <v>58</v>
      </c>
      <c r="B61" s="134" t="s">
        <v>89</v>
      </c>
      <c r="C61" s="136">
        <v>21006</v>
      </c>
      <c r="D61" s="136"/>
      <c r="E61" s="136"/>
      <c r="F61" s="136" t="s">
        <v>15</v>
      </c>
      <c r="G61" s="137" t="str">
        <f>VLOOKUP(F61,lookup!B:C,2,FALSE)</f>
        <v>Engineering</v>
      </c>
      <c r="H61" s="136" t="s">
        <v>198</v>
      </c>
      <c r="I61" s="136" t="s">
        <v>404</v>
      </c>
      <c r="J61" s="136" t="s">
        <v>442</v>
      </c>
      <c r="K61" s="136" t="s">
        <v>351</v>
      </c>
      <c r="L61" s="136" t="s">
        <v>301</v>
      </c>
      <c r="M61" s="138">
        <v>0</v>
      </c>
      <c r="N61" s="139">
        <v>0</v>
      </c>
      <c r="O61" s="139">
        <v>0</v>
      </c>
      <c r="P61" s="139">
        <v>0</v>
      </c>
      <c r="Q61" s="139">
        <v>0</v>
      </c>
      <c r="R61" s="140"/>
      <c r="S61" s="141">
        <v>0</v>
      </c>
      <c r="T61" s="142">
        <v>0</v>
      </c>
      <c r="U61" s="132">
        <v>0</v>
      </c>
      <c r="V61" s="127">
        <v>0</v>
      </c>
      <c r="W61" s="127" t="s">
        <v>205</v>
      </c>
      <c r="X61" s="128" t="str">
        <f t="shared" si="0"/>
        <v>TBD</v>
      </c>
      <c r="Y61" s="136" t="s">
        <v>423</v>
      </c>
      <c r="Z61" s="100">
        <f>VLOOKUP(C61,'Summary_by FY'!$C$1:$C$998,1,FALSE)</f>
        <v>21006</v>
      </c>
    </row>
    <row r="62" spans="1:26" s="143" customFormat="1" x14ac:dyDescent="0.4">
      <c r="A62" s="133">
        <f t="shared" si="1"/>
        <v>59</v>
      </c>
      <c r="B62" s="134" t="s">
        <v>89</v>
      </c>
      <c r="C62" s="136">
        <v>21007</v>
      </c>
      <c r="D62" s="136"/>
      <c r="E62" s="136"/>
      <c r="F62" s="136" t="s">
        <v>15</v>
      </c>
      <c r="G62" s="137" t="str">
        <f>VLOOKUP(F62,lookup!B:C,2,FALSE)</f>
        <v>Engineering</v>
      </c>
      <c r="H62" s="136" t="s">
        <v>198</v>
      </c>
      <c r="I62" s="136" t="s">
        <v>405</v>
      </c>
      <c r="J62" s="136" t="s">
        <v>442</v>
      </c>
      <c r="K62" s="136" t="s">
        <v>351</v>
      </c>
      <c r="L62" s="136" t="s">
        <v>301</v>
      </c>
      <c r="M62" s="138">
        <v>0</v>
      </c>
      <c r="N62" s="139">
        <v>0</v>
      </c>
      <c r="O62" s="139">
        <v>0</v>
      </c>
      <c r="P62" s="139">
        <v>0</v>
      </c>
      <c r="Q62" s="139">
        <v>0</v>
      </c>
      <c r="R62" s="140"/>
      <c r="S62" s="141">
        <v>0</v>
      </c>
      <c r="T62" s="142">
        <v>0</v>
      </c>
      <c r="U62" s="132">
        <v>0</v>
      </c>
      <c r="V62" s="127">
        <v>0</v>
      </c>
      <c r="W62" s="127">
        <v>0</v>
      </c>
      <c r="X62" s="128">
        <f t="shared" si="0"/>
        <v>0</v>
      </c>
      <c r="Y62" s="136" t="s">
        <v>424</v>
      </c>
      <c r="Z62" s="100">
        <f>VLOOKUP(C62,'Summary_by FY'!$C$1:$C$998,1,FALSE)</f>
        <v>21007</v>
      </c>
    </row>
    <row r="63" spans="1:26" s="143" customFormat="1" x14ac:dyDescent="0.4">
      <c r="A63" s="133">
        <f t="shared" si="1"/>
        <v>60</v>
      </c>
      <c r="B63" s="134" t="s">
        <v>89</v>
      </c>
      <c r="C63" s="145">
        <v>21010</v>
      </c>
      <c r="D63" s="136"/>
      <c r="E63" s="136" t="s">
        <v>444</v>
      </c>
      <c r="F63" s="136" t="s">
        <v>15</v>
      </c>
      <c r="G63" s="137" t="str">
        <f>VLOOKUP(F63,lookup!B:C,2,FALSE)</f>
        <v>Engineering</v>
      </c>
      <c r="H63" s="136" t="s">
        <v>406</v>
      </c>
      <c r="I63" s="136" t="s">
        <v>443</v>
      </c>
      <c r="J63" s="136" t="s">
        <v>430</v>
      </c>
      <c r="K63" s="136" t="s">
        <v>248</v>
      </c>
      <c r="L63" s="136" t="s">
        <v>155</v>
      </c>
      <c r="M63" s="138">
        <v>125000</v>
      </c>
      <c r="N63" s="139">
        <v>126024</v>
      </c>
      <c r="O63" s="139">
        <v>112824.84</v>
      </c>
      <c r="P63" s="139">
        <v>112824.84</v>
      </c>
      <c r="Q63" s="139">
        <v>112824.84</v>
      </c>
      <c r="R63" s="140">
        <v>13583.3</v>
      </c>
      <c r="S63" s="141">
        <v>0</v>
      </c>
      <c r="T63" s="142">
        <v>0</v>
      </c>
      <c r="U63" s="132">
        <f>'21010'!H9</f>
        <v>126024</v>
      </c>
      <c r="V63" s="127">
        <f>'21010'!H10</f>
        <v>-13199.16</v>
      </c>
      <c r="W63" s="127">
        <v>0</v>
      </c>
      <c r="X63" s="128">
        <f t="shared" si="0"/>
        <v>-13199.16</v>
      </c>
      <c r="Y63" s="136" t="s">
        <v>464</v>
      </c>
      <c r="Z63" s="100">
        <f>VLOOKUP(C63,'Summary_by FY'!$C$1:$C$998,1,FALSE)</f>
        <v>21010</v>
      </c>
    </row>
    <row r="64" spans="1:26" s="143" customFormat="1" x14ac:dyDescent="0.4">
      <c r="A64" s="133">
        <f t="shared" si="1"/>
        <v>61</v>
      </c>
      <c r="B64" s="134" t="s">
        <v>90</v>
      </c>
      <c r="C64" s="145">
        <v>21035</v>
      </c>
      <c r="D64" s="136"/>
      <c r="E64" s="136"/>
      <c r="F64" s="136" t="s">
        <v>153</v>
      </c>
      <c r="G64" s="137" t="str">
        <f>VLOOKUP(F64,lookup!B:C,2,FALSE)</f>
        <v>Law</v>
      </c>
      <c r="H64" s="136" t="s">
        <v>258</v>
      </c>
      <c r="I64" s="136" t="s">
        <v>460</v>
      </c>
      <c r="J64" s="136" t="s">
        <v>430</v>
      </c>
      <c r="K64" s="136" t="s">
        <v>248</v>
      </c>
      <c r="L64" s="136" t="s">
        <v>148</v>
      </c>
      <c r="M64" s="138">
        <v>50000</v>
      </c>
      <c r="N64" s="139">
        <v>36108.160000000003</v>
      </c>
      <c r="O64" s="139">
        <v>32589.24</v>
      </c>
      <c r="P64" s="139">
        <v>32589.24</v>
      </c>
      <c r="Q64" s="139">
        <v>32589.24</v>
      </c>
      <c r="R64" s="140">
        <v>3518.92</v>
      </c>
      <c r="S64" s="141"/>
      <c r="T64" s="142"/>
      <c r="U64" s="132">
        <f>'21035'!H9</f>
        <v>36108.160000000003</v>
      </c>
      <c r="V64" s="127">
        <v>0</v>
      </c>
      <c r="W64" s="127">
        <v>0</v>
      </c>
      <c r="X64" s="128">
        <f t="shared" si="0"/>
        <v>0</v>
      </c>
      <c r="Y64" s="136" t="s">
        <v>606</v>
      </c>
      <c r="Z64" s="100">
        <f>VLOOKUP(C64,'Summary_by FY'!$C$1:$C$998,1,FALSE)</f>
        <v>21035</v>
      </c>
    </row>
    <row r="65" spans="1:26" s="143" customFormat="1" x14ac:dyDescent="0.4">
      <c r="A65" s="133">
        <f t="shared" si="1"/>
        <v>62</v>
      </c>
      <c r="B65" s="134" t="s">
        <v>89</v>
      </c>
      <c r="C65" s="145">
        <v>21051</v>
      </c>
      <c r="D65" s="136">
        <v>8784</v>
      </c>
      <c r="E65" s="136" t="s">
        <v>660</v>
      </c>
      <c r="F65" s="136" t="s">
        <v>21</v>
      </c>
      <c r="G65" s="137" t="str">
        <f>VLOOKUP(F65,lookup!B:C,2,FALSE)</f>
        <v>School of Medicine</v>
      </c>
      <c r="H65" s="136" t="s">
        <v>146</v>
      </c>
      <c r="I65" s="136" t="s">
        <v>663</v>
      </c>
      <c r="J65" s="136" t="s">
        <v>430</v>
      </c>
      <c r="K65" s="136" t="s">
        <v>351</v>
      </c>
      <c r="L65" s="136" t="s">
        <v>148</v>
      </c>
      <c r="M65" s="138">
        <v>0</v>
      </c>
      <c r="N65" s="139">
        <v>27500</v>
      </c>
      <c r="O65" s="139">
        <v>0</v>
      </c>
      <c r="P65" s="139">
        <v>0</v>
      </c>
      <c r="Q65" s="139">
        <v>0</v>
      </c>
      <c r="R65" s="140"/>
      <c r="S65" s="141">
        <v>0</v>
      </c>
      <c r="T65" s="142">
        <v>0</v>
      </c>
      <c r="U65" s="132">
        <v>0</v>
      </c>
      <c r="V65" s="127">
        <f>'21051'!H9</f>
        <v>27500</v>
      </c>
      <c r="W65" s="127">
        <v>1600000</v>
      </c>
      <c r="X65" s="128">
        <f t="shared" si="0"/>
        <v>1627500</v>
      </c>
      <c r="Y65" s="136" t="s">
        <v>639</v>
      </c>
      <c r="Z65" s="100">
        <f>VLOOKUP(C65,'Summary_by FY'!$C$1:$C$998,1,FALSE)</f>
        <v>21051</v>
      </c>
    </row>
    <row r="66" spans="1:26" s="143" customFormat="1" x14ac:dyDescent="0.4">
      <c r="A66" s="133">
        <f t="shared" si="1"/>
        <v>63</v>
      </c>
      <c r="B66" s="134" t="s">
        <v>89</v>
      </c>
      <c r="C66" s="145">
        <v>21066</v>
      </c>
      <c r="D66" s="136"/>
      <c r="E66" s="136" t="s">
        <v>445</v>
      </c>
      <c r="F66" s="136" t="s">
        <v>10</v>
      </c>
      <c r="G66" s="137" t="str">
        <f>VLOOKUP(F66,lookup!B:C,2,FALSE)</f>
        <v>Arts &amp; Science</v>
      </c>
      <c r="H66" s="136" t="s">
        <v>428</v>
      </c>
      <c r="I66" s="136" t="s">
        <v>429</v>
      </c>
      <c r="J66" s="136" t="s">
        <v>430</v>
      </c>
      <c r="K66" s="136" t="s">
        <v>351</v>
      </c>
      <c r="L66" s="136" t="s">
        <v>155</v>
      </c>
      <c r="M66" s="138">
        <v>29160</v>
      </c>
      <c r="N66" s="139">
        <v>29160</v>
      </c>
      <c r="O66" s="139">
        <v>29160</v>
      </c>
      <c r="P66" s="139">
        <v>29160</v>
      </c>
      <c r="Q66" s="139">
        <v>24786</v>
      </c>
      <c r="R66" s="140"/>
      <c r="S66" s="141">
        <v>0</v>
      </c>
      <c r="T66" s="142">
        <v>0</v>
      </c>
      <c r="U66" s="132">
        <f>'21066'!H9</f>
        <v>29160</v>
      </c>
      <c r="V66" s="127">
        <v>0</v>
      </c>
      <c r="W66" s="127">
        <v>0</v>
      </c>
      <c r="X66" s="128">
        <f t="shared" si="0"/>
        <v>0</v>
      </c>
      <c r="Y66" s="136" t="s">
        <v>640</v>
      </c>
      <c r="Z66" s="100">
        <f>VLOOKUP(C66,'Summary_by FY'!$C$1:$C$998,1,FALSE)</f>
        <v>21066</v>
      </c>
    </row>
    <row r="67" spans="1:26" s="143" customFormat="1" x14ac:dyDescent="0.4">
      <c r="A67" s="133">
        <f t="shared" si="1"/>
        <v>64</v>
      </c>
      <c r="B67" s="134" t="s">
        <v>89</v>
      </c>
      <c r="C67" s="145">
        <v>21067</v>
      </c>
      <c r="D67" s="136"/>
      <c r="E67" s="136" t="s">
        <v>446</v>
      </c>
      <c r="F67" s="136" t="s">
        <v>25</v>
      </c>
      <c r="G67" s="137" t="str">
        <f>VLOOKUP(F67,lookup!B:C,2,FALSE)</f>
        <v>School of Nursing</v>
      </c>
      <c r="H67" s="136" t="s">
        <v>316</v>
      </c>
      <c r="I67" s="136" t="s">
        <v>587</v>
      </c>
      <c r="J67" s="136" t="s">
        <v>430</v>
      </c>
      <c r="K67" s="136" t="s">
        <v>664</v>
      </c>
      <c r="L67" s="136" t="s">
        <v>155</v>
      </c>
      <c r="M67" s="138">
        <v>2500000</v>
      </c>
      <c r="N67" s="139">
        <v>46600</v>
      </c>
      <c r="O67" s="139">
        <v>46600</v>
      </c>
      <c r="P67" s="139">
        <v>46600</v>
      </c>
      <c r="Q67" s="139">
        <v>22810</v>
      </c>
      <c r="R67" s="140"/>
      <c r="S67" s="141">
        <v>0</v>
      </c>
      <c r="T67" s="142">
        <v>0</v>
      </c>
      <c r="U67" s="132">
        <f>'21067'!H9+'21067'!H10</f>
        <v>46600</v>
      </c>
      <c r="V67" s="127">
        <v>0</v>
      </c>
      <c r="W67" s="127">
        <v>2100000</v>
      </c>
      <c r="X67" s="128">
        <f t="shared" si="0"/>
        <v>2100000</v>
      </c>
      <c r="Y67" s="136" t="s">
        <v>641</v>
      </c>
      <c r="Z67" s="100">
        <f>VLOOKUP(C67,'Summary_by FY'!$C$1:$C$998,1,FALSE)</f>
        <v>21067</v>
      </c>
    </row>
    <row r="68" spans="1:26" s="143" customFormat="1" x14ac:dyDescent="0.4">
      <c r="A68" s="133">
        <f t="shared" si="1"/>
        <v>65</v>
      </c>
      <c r="B68" s="134" t="s">
        <v>90</v>
      </c>
      <c r="C68" s="145">
        <v>21068</v>
      </c>
      <c r="D68" s="136"/>
      <c r="E68" s="136"/>
      <c r="F68" s="136" t="s">
        <v>10</v>
      </c>
      <c r="G68" s="137" t="str">
        <f>VLOOKUP(F68,lookup!B:C,2,FALSE)</f>
        <v>Arts &amp; Science</v>
      </c>
      <c r="H68" s="136" t="s">
        <v>241</v>
      </c>
      <c r="I68" s="136" t="s">
        <v>431</v>
      </c>
      <c r="J68" s="136" t="s">
        <v>430</v>
      </c>
      <c r="K68" s="136" t="s">
        <v>558</v>
      </c>
      <c r="L68" s="136" t="s">
        <v>301</v>
      </c>
      <c r="M68" s="138">
        <v>0</v>
      </c>
      <c r="N68" s="139">
        <v>34837.4</v>
      </c>
      <c r="O68" s="139">
        <v>24737.4</v>
      </c>
      <c r="P68" s="139">
        <v>24737.4</v>
      </c>
      <c r="Q68" s="139">
        <v>24737.4</v>
      </c>
      <c r="R68" s="140">
        <v>10100</v>
      </c>
      <c r="S68" s="141">
        <v>0</v>
      </c>
      <c r="T68" s="142">
        <v>0</v>
      </c>
      <c r="U68" s="132">
        <f>'21068'!H9</f>
        <v>34837.4</v>
      </c>
      <c r="V68" s="127">
        <v>0</v>
      </c>
      <c r="W68" s="127">
        <v>0</v>
      </c>
      <c r="X68" s="128">
        <f t="shared" si="0"/>
        <v>0</v>
      </c>
      <c r="Y68" s="136" t="s">
        <v>465</v>
      </c>
      <c r="Z68" s="100">
        <f>VLOOKUP(C68,'Summary_by FY'!$C$1:$C$998,1,FALSE)</f>
        <v>21068</v>
      </c>
    </row>
    <row r="69" spans="1:26" s="143" customFormat="1" x14ac:dyDescent="0.4">
      <c r="A69" s="133">
        <f t="shared" si="1"/>
        <v>66</v>
      </c>
      <c r="B69" s="134" t="s">
        <v>90</v>
      </c>
      <c r="C69" s="145">
        <v>21070</v>
      </c>
      <c r="D69" s="136">
        <v>8733</v>
      </c>
      <c r="E69" s="136"/>
      <c r="F69" s="136" t="s">
        <v>15</v>
      </c>
      <c r="G69" s="137" t="str">
        <f>VLOOKUP(F69,lookup!B:C,2,FALSE)</f>
        <v>Engineering</v>
      </c>
      <c r="H69" s="136" t="s">
        <v>432</v>
      </c>
      <c r="I69" s="136" t="s">
        <v>433</v>
      </c>
      <c r="J69" s="136" t="s">
        <v>430</v>
      </c>
      <c r="K69" s="136" t="s">
        <v>248</v>
      </c>
      <c r="L69" s="136" t="s">
        <v>148</v>
      </c>
      <c r="M69" s="138">
        <v>848722</v>
      </c>
      <c r="N69" s="139">
        <v>392042.1</v>
      </c>
      <c r="O69" s="139">
        <v>331331</v>
      </c>
      <c r="P69" s="139">
        <v>331331</v>
      </c>
      <c r="Q69" s="139">
        <v>308101</v>
      </c>
      <c r="R69" s="140">
        <v>60771.1</v>
      </c>
      <c r="S69" s="141">
        <v>0</v>
      </c>
      <c r="T69" s="142">
        <v>0</v>
      </c>
      <c r="U69" s="132">
        <f>'21070'!H9</f>
        <v>392042.1</v>
      </c>
      <c r="V69" s="127">
        <v>0</v>
      </c>
      <c r="W69" s="127">
        <v>0</v>
      </c>
      <c r="X69" s="128">
        <f t="shared" ref="X69:X90" si="2">IF(W69="TBD","TBD",V69+W69)</f>
        <v>0</v>
      </c>
      <c r="Y69" s="136" t="s">
        <v>607</v>
      </c>
      <c r="Z69" s="100">
        <f>VLOOKUP(C69,'Summary_by FY'!$C$1:$C$998,1,FALSE)</f>
        <v>21070</v>
      </c>
    </row>
    <row r="70" spans="1:26" s="143" customFormat="1" x14ac:dyDescent="0.4">
      <c r="A70" s="133">
        <f t="shared" ref="A70:A90" si="3">A69+1</f>
        <v>67</v>
      </c>
      <c r="B70" s="134" t="s">
        <v>89</v>
      </c>
      <c r="C70" s="145">
        <v>21071</v>
      </c>
      <c r="D70" s="136"/>
      <c r="E70" s="136" t="s">
        <v>447</v>
      </c>
      <c r="F70" s="136" t="s">
        <v>10</v>
      </c>
      <c r="G70" s="137" t="str">
        <f>VLOOKUP(F70,lookup!B:C,2,FALSE)</f>
        <v>Arts &amp; Science</v>
      </c>
      <c r="H70" s="136" t="s">
        <v>434</v>
      </c>
      <c r="I70" s="136" t="s">
        <v>435</v>
      </c>
      <c r="J70" s="136" t="s">
        <v>430</v>
      </c>
      <c r="K70" s="136" t="s">
        <v>351</v>
      </c>
      <c r="L70" s="136" t="s">
        <v>155</v>
      </c>
      <c r="M70" s="138">
        <v>19440</v>
      </c>
      <c r="N70" s="139">
        <v>19440</v>
      </c>
      <c r="O70" s="139">
        <v>19440</v>
      </c>
      <c r="P70" s="139">
        <v>19440</v>
      </c>
      <c r="Q70" s="139">
        <v>16524</v>
      </c>
      <c r="R70" s="140"/>
      <c r="S70" s="141">
        <v>0</v>
      </c>
      <c r="T70" s="142">
        <v>0</v>
      </c>
      <c r="U70" s="132">
        <f>'21071'!H9</f>
        <v>19440</v>
      </c>
      <c r="V70" s="127">
        <v>0</v>
      </c>
      <c r="W70" s="127">
        <v>0</v>
      </c>
      <c r="X70" s="128">
        <f t="shared" si="2"/>
        <v>0</v>
      </c>
      <c r="Y70" s="136" t="s">
        <v>640</v>
      </c>
      <c r="Z70" s="100">
        <f>VLOOKUP(C70,'Summary_by FY'!$C$1:$C$998,1,FALSE)</f>
        <v>21071</v>
      </c>
    </row>
    <row r="71" spans="1:26" s="143" customFormat="1" x14ac:dyDescent="0.4">
      <c r="A71" s="133">
        <f t="shared" si="3"/>
        <v>68</v>
      </c>
      <c r="B71" s="134" t="s">
        <v>90</v>
      </c>
      <c r="C71" s="136">
        <v>21072</v>
      </c>
      <c r="D71" s="136"/>
      <c r="E71" s="136"/>
      <c r="F71" s="136" t="s">
        <v>10</v>
      </c>
      <c r="G71" s="137" t="str">
        <f>VLOOKUP(F71,lookup!B:C,2,FALSE)</f>
        <v>Arts &amp; Science</v>
      </c>
      <c r="H71" s="136" t="s">
        <v>553</v>
      </c>
      <c r="I71" s="136" t="s">
        <v>554</v>
      </c>
      <c r="J71" s="136" t="s">
        <v>442</v>
      </c>
      <c r="K71" s="136" t="s">
        <v>175</v>
      </c>
      <c r="L71" s="136" t="s">
        <v>155</v>
      </c>
      <c r="M71" s="138">
        <v>10000</v>
      </c>
      <c r="N71" s="139">
        <v>0</v>
      </c>
      <c r="O71" s="139">
        <v>0</v>
      </c>
      <c r="P71" s="139">
        <v>0</v>
      </c>
      <c r="Q71" s="139">
        <v>0</v>
      </c>
      <c r="R71" s="140"/>
      <c r="S71" s="141"/>
      <c r="T71" s="142"/>
      <c r="U71" s="132"/>
      <c r="V71" s="127">
        <v>0</v>
      </c>
      <c r="W71" s="127">
        <v>0</v>
      </c>
      <c r="X71" s="128">
        <f t="shared" si="2"/>
        <v>0</v>
      </c>
      <c r="Y71" s="136" t="s">
        <v>564</v>
      </c>
      <c r="Z71" s="100">
        <f>VLOOKUP(C71,'Summary_by FY'!$C$1:$C$998,1,FALSE)</f>
        <v>21072</v>
      </c>
    </row>
    <row r="72" spans="1:26" s="143" customFormat="1" x14ac:dyDescent="0.4">
      <c r="A72" s="133">
        <f t="shared" si="3"/>
        <v>69</v>
      </c>
      <c r="B72" s="134" t="s">
        <v>90</v>
      </c>
      <c r="C72" s="136">
        <v>21073</v>
      </c>
      <c r="D72" s="136"/>
      <c r="E72" s="136"/>
      <c r="F72" s="136" t="s">
        <v>10</v>
      </c>
      <c r="G72" s="137" t="str">
        <f>VLOOKUP(F72,lookup!B:C,2,FALSE)</f>
        <v>Arts &amp; Science</v>
      </c>
      <c r="H72" s="136" t="s">
        <v>364</v>
      </c>
      <c r="I72" s="136" t="s">
        <v>555</v>
      </c>
      <c r="J72" s="136" t="s">
        <v>442</v>
      </c>
      <c r="K72" s="136" t="s">
        <v>175</v>
      </c>
      <c r="L72" s="136" t="s">
        <v>155</v>
      </c>
      <c r="M72" s="138">
        <v>10000</v>
      </c>
      <c r="N72" s="139">
        <v>0</v>
      </c>
      <c r="O72" s="139">
        <v>0</v>
      </c>
      <c r="P72" s="139">
        <v>0</v>
      </c>
      <c r="Q72" s="139">
        <v>0</v>
      </c>
      <c r="R72" s="140"/>
      <c r="S72" s="141"/>
      <c r="T72" s="142"/>
      <c r="U72" s="132"/>
      <c r="V72" s="127">
        <v>0</v>
      </c>
      <c r="W72" s="127">
        <v>0</v>
      </c>
      <c r="X72" s="128">
        <f t="shared" si="2"/>
        <v>0</v>
      </c>
      <c r="Y72" s="136" t="s">
        <v>565</v>
      </c>
      <c r="Z72" s="100">
        <f>VLOOKUP(C72,'Summary_by FY'!$C$1:$C$998,1,FALSE)</f>
        <v>21073</v>
      </c>
    </row>
    <row r="73" spans="1:26" s="143" customFormat="1" x14ac:dyDescent="0.4">
      <c r="A73" s="133">
        <f t="shared" si="3"/>
        <v>70</v>
      </c>
      <c r="B73" s="134" t="s">
        <v>90</v>
      </c>
      <c r="C73" s="136">
        <v>21074</v>
      </c>
      <c r="D73" s="136"/>
      <c r="E73" s="136"/>
      <c r="F73" s="136" t="s">
        <v>19</v>
      </c>
      <c r="G73" s="137" t="str">
        <f>VLOOKUP(F73,lookup!B:C,2,FALSE)</f>
        <v>Law</v>
      </c>
      <c r="H73" s="136" t="s">
        <v>258</v>
      </c>
      <c r="I73" s="136" t="s">
        <v>556</v>
      </c>
      <c r="J73" s="136" t="s">
        <v>442</v>
      </c>
      <c r="K73" s="136" t="s">
        <v>175</v>
      </c>
      <c r="L73" s="136" t="s">
        <v>155</v>
      </c>
      <c r="M73" s="138">
        <v>10000</v>
      </c>
      <c r="N73" s="139">
        <v>0</v>
      </c>
      <c r="O73" s="139">
        <v>0</v>
      </c>
      <c r="P73" s="139">
        <v>0</v>
      </c>
      <c r="Q73" s="139">
        <v>0</v>
      </c>
      <c r="R73" s="140"/>
      <c r="S73" s="141"/>
      <c r="T73" s="142"/>
      <c r="U73" s="132"/>
      <c r="V73" s="127">
        <v>0</v>
      </c>
      <c r="W73" s="127">
        <v>0</v>
      </c>
      <c r="X73" s="128">
        <f t="shared" si="2"/>
        <v>0</v>
      </c>
      <c r="Y73" s="136" t="s">
        <v>566</v>
      </c>
      <c r="Z73" s="100">
        <f>VLOOKUP(C73,'Summary_by FY'!$C$1:$C$998,1,FALSE)</f>
        <v>21074</v>
      </c>
    </row>
    <row r="74" spans="1:26" s="143" customFormat="1" x14ac:dyDescent="0.4">
      <c r="A74" s="133">
        <f t="shared" si="3"/>
        <v>71</v>
      </c>
      <c r="B74" s="134" t="s">
        <v>90</v>
      </c>
      <c r="C74" s="145">
        <v>21094</v>
      </c>
      <c r="D74" s="136"/>
      <c r="E74" s="136"/>
      <c r="F74" s="136" t="s">
        <v>19</v>
      </c>
      <c r="G74" s="137" t="str">
        <f>VLOOKUP(F74,lookup!B:C,2,FALSE)</f>
        <v>Law</v>
      </c>
      <c r="H74" s="136" t="s">
        <v>316</v>
      </c>
      <c r="I74" s="136" t="s">
        <v>436</v>
      </c>
      <c r="J74" s="136" t="s">
        <v>430</v>
      </c>
      <c r="K74" s="136" t="s">
        <v>248</v>
      </c>
      <c r="L74" s="136" t="s">
        <v>155</v>
      </c>
      <c r="M74" s="138">
        <v>87500</v>
      </c>
      <c r="N74" s="139">
        <v>87500</v>
      </c>
      <c r="O74" s="139">
        <v>48640</v>
      </c>
      <c r="P74" s="139">
        <v>48640</v>
      </c>
      <c r="Q74" s="139">
        <v>48640</v>
      </c>
      <c r="R74" s="140"/>
      <c r="S74" s="141">
        <v>0</v>
      </c>
      <c r="T74" s="142">
        <v>0</v>
      </c>
      <c r="U74" s="132">
        <f>'21094'!H9</f>
        <v>87500</v>
      </c>
      <c r="V74" s="127">
        <v>0</v>
      </c>
      <c r="W74" s="127">
        <v>0</v>
      </c>
      <c r="X74" s="128">
        <f>IF(W74="TBD","TBD",V74+W74)</f>
        <v>0</v>
      </c>
      <c r="Y74" s="136" t="s">
        <v>612</v>
      </c>
      <c r="Z74" s="100">
        <f>VLOOKUP(C74,'Summary_by FY'!$C$1:$C$998,1,FALSE)</f>
        <v>21094</v>
      </c>
    </row>
    <row r="75" spans="1:26" s="130" customFormat="1" outlineLevel="1" x14ac:dyDescent="0.4">
      <c r="A75" s="115">
        <f t="shared" si="3"/>
        <v>72</v>
      </c>
      <c r="B75" s="116" t="s">
        <v>90</v>
      </c>
      <c r="C75" s="146">
        <v>21108</v>
      </c>
      <c r="D75" s="118"/>
      <c r="E75" s="118"/>
      <c r="F75" s="118" t="s">
        <v>174</v>
      </c>
      <c r="G75" s="119" t="str">
        <f>VLOOKUP(F75,lookup!B:C,2,FALSE)</f>
        <v>School of Nursing</v>
      </c>
      <c r="H75" s="118" t="s">
        <v>162</v>
      </c>
      <c r="I75" s="118" t="s">
        <v>437</v>
      </c>
      <c r="J75" s="118" t="s">
        <v>441</v>
      </c>
      <c r="K75" s="118" t="s">
        <v>295</v>
      </c>
      <c r="L75" s="118" t="s">
        <v>155</v>
      </c>
      <c r="M75" s="120">
        <v>5000</v>
      </c>
      <c r="N75" s="121">
        <v>5000</v>
      </c>
      <c r="O75" s="121">
        <v>5000</v>
      </c>
      <c r="P75" s="121">
        <v>5000</v>
      </c>
      <c r="Q75" s="121">
        <v>5000</v>
      </c>
      <c r="R75" s="122"/>
      <c r="S75" s="123">
        <v>0</v>
      </c>
      <c r="T75" s="124">
        <v>0</v>
      </c>
      <c r="U75" s="125">
        <f>'21108'!H9</f>
        <v>5000</v>
      </c>
      <c r="V75" s="126">
        <v>0</v>
      </c>
      <c r="W75" s="126">
        <v>0</v>
      </c>
      <c r="X75" s="128">
        <f t="shared" si="2"/>
        <v>0</v>
      </c>
      <c r="Y75" s="118" t="s">
        <v>455</v>
      </c>
      <c r="Z75" s="131">
        <f>VLOOKUP(C75,'Summary_by FY'!$C$1:$C$998,1,FALSE)</f>
        <v>21108</v>
      </c>
    </row>
    <row r="76" spans="1:26" s="143" customFormat="1" x14ac:dyDescent="0.4">
      <c r="A76" s="133">
        <f t="shared" si="3"/>
        <v>73</v>
      </c>
      <c r="B76" s="134" t="s">
        <v>90</v>
      </c>
      <c r="C76" s="136">
        <v>21113</v>
      </c>
      <c r="D76" s="136"/>
      <c r="E76" s="136"/>
      <c r="F76" s="136" t="s">
        <v>15</v>
      </c>
      <c r="G76" s="137" t="str">
        <f>VLOOKUP(F76,lookup!B:C,2,FALSE)</f>
        <v>Engineering</v>
      </c>
      <c r="H76" s="136" t="s">
        <v>146</v>
      </c>
      <c r="I76" s="136" t="s">
        <v>438</v>
      </c>
      <c r="J76" s="136" t="s">
        <v>430</v>
      </c>
      <c r="K76" s="136" t="s">
        <v>101</v>
      </c>
      <c r="L76" s="136" t="s">
        <v>301</v>
      </c>
      <c r="M76" s="138">
        <v>85000</v>
      </c>
      <c r="N76" s="139">
        <v>82125</v>
      </c>
      <c r="O76" s="139">
        <v>61963.839999999997</v>
      </c>
      <c r="P76" s="139">
        <v>61963.839999999997</v>
      </c>
      <c r="Q76" s="139">
        <v>0</v>
      </c>
      <c r="R76" s="140"/>
      <c r="S76" s="141">
        <v>0</v>
      </c>
      <c r="T76" s="142">
        <v>0</v>
      </c>
      <c r="U76" s="132">
        <f>'21113'!H9</f>
        <v>82125</v>
      </c>
      <c r="V76" s="127">
        <v>0</v>
      </c>
      <c r="W76" s="127">
        <v>0</v>
      </c>
      <c r="X76" s="128">
        <f>IF(W76="TBD","TBD",V76+W76)</f>
        <v>0</v>
      </c>
      <c r="Y76" s="136" t="s">
        <v>642</v>
      </c>
      <c r="Z76" s="100">
        <f>VLOOKUP(C76,'Summary_by FY'!$C$1:$C$998,1,FALSE)</f>
        <v>21113</v>
      </c>
    </row>
    <row r="77" spans="1:26" s="143" customFormat="1" x14ac:dyDescent="0.4">
      <c r="A77" s="133">
        <f t="shared" si="3"/>
        <v>74</v>
      </c>
      <c r="B77" s="134" t="s">
        <v>90</v>
      </c>
      <c r="C77" s="145">
        <v>21114</v>
      </c>
      <c r="D77" s="136"/>
      <c r="E77" s="136"/>
      <c r="F77" s="136" t="s">
        <v>21</v>
      </c>
      <c r="G77" s="137" t="str">
        <f>VLOOKUP(F77,lookup!B:C,2,FALSE)</f>
        <v>School of Medicine</v>
      </c>
      <c r="H77" s="136" t="s">
        <v>146</v>
      </c>
      <c r="I77" s="136" t="s">
        <v>439</v>
      </c>
      <c r="J77" s="136" t="s">
        <v>430</v>
      </c>
      <c r="K77" s="136" t="s">
        <v>101</v>
      </c>
      <c r="L77" s="136" t="s">
        <v>301</v>
      </c>
      <c r="M77" s="138">
        <v>70000</v>
      </c>
      <c r="N77" s="139">
        <v>68452</v>
      </c>
      <c r="O77" s="139">
        <v>53802</v>
      </c>
      <c r="P77" s="139">
        <v>53802</v>
      </c>
      <c r="Q77" s="139">
        <v>0</v>
      </c>
      <c r="R77" s="140"/>
      <c r="S77" s="141">
        <v>0</v>
      </c>
      <c r="T77" s="142">
        <v>0</v>
      </c>
      <c r="U77" s="132">
        <f>'21114'!H9</f>
        <v>68452</v>
      </c>
      <c r="V77" s="127">
        <v>0</v>
      </c>
      <c r="W77" s="127">
        <v>0</v>
      </c>
      <c r="X77" s="128">
        <f t="shared" si="2"/>
        <v>0</v>
      </c>
      <c r="Y77" s="136" t="s">
        <v>643</v>
      </c>
      <c r="Z77" s="100">
        <f>VLOOKUP(C77,'Summary_by FY'!$C$1:$C$998,1,FALSE)</f>
        <v>21114</v>
      </c>
    </row>
    <row r="78" spans="1:26" s="143" customFormat="1" x14ac:dyDescent="0.4">
      <c r="A78" s="133">
        <f t="shared" si="3"/>
        <v>75</v>
      </c>
      <c r="B78" s="134" t="s">
        <v>89</v>
      </c>
      <c r="C78" s="145">
        <v>21127</v>
      </c>
      <c r="D78" s="136"/>
      <c r="E78" s="136" t="s">
        <v>583</v>
      </c>
      <c r="F78" s="136" t="s">
        <v>21</v>
      </c>
      <c r="G78" s="137" t="str">
        <f>VLOOKUP(F78,lookup!B:C,2,FALSE)</f>
        <v>School of Medicine</v>
      </c>
      <c r="H78" s="136" t="s">
        <v>146</v>
      </c>
      <c r="I78" s="136" t="s">
        <v>449</v>
      </c>
      <c r="J78" s="136" t="s">
        <v>430</v>
      </c>
      <c r="K78" s="136" t="s">
        <v>101</v>
      </c>
      <c r="L78" s="136" t="s">
        <v>301</v>
      </c>
      <c r="M78" s="138">
        <v>450000</v>
      </c>
      <c r="N78" s="139">
        <v>449020</v>
      </c>
      <c r="O78" s="139">
        <v>356319</v>
      </c>
      <c r="P78" s="139">
        <v>356319</v>
      </c>
      <c r="Q78" s="139">
        <v>0</v>
      </c>
      <c r="R78" s="140"/>
      <c r="S78" s="141">
        <v>0</v>
      </c>
      <c r="T78" s="142">
        <v>0</v>
      </c>
      <c r="U78" s="132">
        <v>0</v>
      </c>
      <c r="V78" s="127">
        <f>'21127'!H9</f>
        <v>449020</v>
      </c>
      <c r="W78" s="127">
        <v>0</v>
      </c>
      <c r="X78" s="128">
        <f t="shared" si="2"/>
        <v>449020</v>
      </c>
      <c r="Y78" s="136" t="s">
        <v>644</v>
      </c>
      <c r="Z78" s="100">
        <f>VLOOKUP(C78,'Summary_by FY'!$C$1:$C$998,1,FALSE)</f>
        <v>21127</v>
      </c>
    </row>
    <row r="79" spans="1:26" s="143" customFormat="1" x14ac:dyDescent="0.4">
      <c r="A79" s="133">
        <f t="shared" si="3"/>
        <v>76</v>
      </c>
      <c r="B79" s="134" t="s">
        <v>90</v>
      </c>
      <c r="C79" s="136">
        <v>21155</v>
      </c>
      <c r="D79" s="136">
        <v>904</v>
      </c>
      <c r="E79" s="136"/>
      <c r="F79" s="136" t="s">
        <v>10</v>
      </c>
      <c r="G79" s="137" t="str">
        <f>VLOOKUP(F79,lookup!B:C,2,FALSE)</f>
        <v>Arts &amp; Science</v>
      </c>
      <c r="H79" s="136" t="s">
        <v>428</v>
      </c>
      <c r="I79" s="136" t="s">
        <v>588</v>
      </c>
      <c r="J79" s="136" t="s">
        <v>430</v>
      </c>
      <c r="K79" s="136" t="s">
        <v>351</v>
      </c>
      <c r="L79" s="136" t="s">
        <v>589</v>
      </c>
      <c r="M79" s="138">
        <v>750000</v>
      </c>
      <c r="N79" s="139">
        <v>0</v>
      </c>
      <c r="O79" s="139">
        <v>0</v>
      </c>
      <c r="P79" s="139">
        <v>0</v>
      </c>
      <c r="Q79" s="139">
        <v>0</v>
      </c>
      <c r="R79" s="140"/>
      <c r="S79" s="141"/>
      <c r="T79" s="142"/>
      <c r="U79" s="132"/>
      <c r="V79" s="127">
        <v>0</v>
      </c>
      <c r="W79" s="127">
        <v>750000</v>
      </c>
      <c r="X79" s="128">
        <f t="shared" si="2"/>
        <v>750000</v>
      </c>
      <c r="Y79" s="136" t="s">
        <v>645</v>
      </c>
      <c r="Z79" s="100">
        <f>VLOOKUP(C79,'Summary_by FY'!$C$1:$C$998,1,FALSE)</f>
        <v>21155</v>
      </c>
    </row>
    <row r="80" spans="1:26" s="143" customFormat="1" x14ac:dyDescent="0.4">
      <c r="A80" s="133">
        <f t="shared" si="3"/>
        <v>77</v>
      </c>
      <c r="B80" s="134" t="s">
        <v>89</v>
      </c>
      <c r="C80" s="145">
        <v>21156</v>
      </c>
      <c r="D80" s="136"/>
      <c r="E80" s="136" t="s">
        <v>582</v>
      </c>
      <c r="F80" s="136" t="s">
        <v>15</v>
      </c>
      <c r="G80" s="137" t="str">
        <f>VLOOKUP(F80,lookup!B:C,2,FALSE)</f>
        <v>Engineering</v>
      </c>
      <c r="H80" s="136" t="s">
        <v>432</v>
      </c>
      <c r="I80" s="136" t="s">
        <v>557</v>
      </c>
      <c r="J80" s="136" t="s">
        <v>430</v>
      </c>
      <c r="K80" s="136" t="s">
        <v>101</v>
      </c>
      <c r="L80" s="136" t="s">
        <v>656</v>
      </c>
      <c r="M80" s="138">
        <v>500000</v>
      </c>
      <c r="N80" s="139">
        <v>386000</v>
      </c>
      <c r="O80" s="139">
        <v>352551.19</v>
      </c>
      <c r="P80" s="139">
        <v>352551.19</v>
      </c>
      <c r="Q80" s="139">
        <v>10800</v>
      </c>
      <c r="R80" s="140"/>
      <c r="S80" s="141"/>
      <c r="T80" s="142"/>
      <c r="U80" s="132"/>
      <c r="V80" s="127">
        <f>'21156'!H9</f>
        <v>386000</v>
      </c>
      <c r="W80" s="127">
        <v>340000</v>
      </c>
      <c r="X80" s="128">
        <f t="shared" si="2"/>
        <v>726000</v>
      </c>
      <c r="Y80" s="136" t="s">
        <v>646</v>
      </c>
      <c r="Z80" s="100">
        <f>VLOOKUP(C80,'Summary_by FY'!$C$1:$C$998,1,FALSE)</f>
        <v>21156</v>
      </c>
    </row>
    <row r="81" spans="1:26" s="143" customFormat="1" x14ac:dyDescent="0.4">
      <c r="A81" s="133">
        <f t="shared" si="3"/>
        <v>78</v>
      </c>
      <c r="B81" s="134" t="s">
        <v>90</v>
      </c>
      <c r="C81" s="136">
        <v>21157</v>
      </c>
      <c r="D81" s="136"/>
      <c r="E81" s="136"/>
      <c r="F81" s="136" t="s">
        <v>10</v>
      </c>
      <c r="G81" s="137" t="str">
        <f>VLOOKUP(F81,lookup!B:C,2,FALSE)</f>
        <v>Arts &amp; Science</v>
      </c>
      <c r="H81" s="136" t="s">
        <v>610</v>
      </c>
      <c r="I81" s="136" t="s">
        <v>611</v>
      </c>
      <c r="J81" s="136" t="s">
        <v>430</v>
      </c>
      <c r="K81" s="136" t="s">
        <v>100</v>
      </c>
      <c r="L81" s="136" t="s">
        <v>301</v>
      </c>
      <c r="M81" s="138">
        <v>250000</v>
      </c>
      <c r="N81" s="139">
        <v>19000</v>
      </c>
      <c r="O81" s="139">
        <v>12700</v>
      </c>
      <c r="P81" s="139">
        <v>12700</v>
      </c>
      <c r="Q81" s="139">
        <v>9800</v>
      </c>
      <c r="R81" s="140"/>
      <c r="S81" s="141"/>
      <c r="T81" s="142"/>
      <c r="U81" s="132"/>
      <c r="V81" s="127">
        <v>0</v>
      </c>
      <c r="W81" s="127">
        <v>25000</v>
      </c>
      <c r="X81" s="128">
        <f t="shared" si="2"/>
        <v>25000</v>
      </c>
      <c r="Y81" s="136" t="s">
        <v>647</v>
      </c>
      <c r="Z81" s="100">
        <f>VLOOKUP(C81,'Summary_by FY'!$C$1:$C$998,1,FALSE)</f>
        <v>21157</v>
      </c>
    </row>
    <row r="82" spans="1:26" s="143" customFormat="1" x14ac:dyDescent="0.4">
      <c r="A82" s="133">
        <f t="shared" si="3"/>
        <v>79</v>
      </c>
      <c r="B82" s="134" t="s">
        <v>205</v>
      </c>
      <c r="C82" s="136">
        <v>21165</v>
      </c>
      <c r="D82" s="136"/>
      <c r="E82" s="136"/>
      <c r="F82" s="136" t="s">
        <v>28</v>
      </c>
      <c r="G82" s="137" t="str">
        <f>VLOOKUP(F82,lookup!B:C,2,FALSE)</f>
        <v>Peabody</v>
      </c>
      <c r="H82" s="136" t="s">
        <v>159</v>
      </c>
      <c r="I82" s="136" t="s">
        <v>590</v>
      </c>
      <c r="J82" s="136" t="s">
        <v>430</v>
      </c>
      <c r="K82" s="136" t="s">
        <v>351</v>
      </c>
      <c r="L82" s="136" t="s">
        <v>148</v>
      </c>
      <c r="M82" s="138">
        <v>0</v>
      </c>
      <c r="N82" s="139">
        <v>0</v>
      </c>
      <c r="O82" s="139">
        <v>0</v>
      </c>
      <c r="P82" s="139">
        <v>0</v>
      </c>
      <c r="Q82" s="139">
        <v>0</v>
      </c>
      <c r="R82" s="140"/>
      <c r="S82" s="141"/>
      <c r="T82" s="142"/>
      <c r="U82" s="132"/>
      <c r="V82" s="127">
        <v>0</v>
      </c>
      <c r="W82" s="127" t="s">
        <v>205</v>
      </c>
      <c r="X82" s="128" t="str">
        <f t="shared" si="2"/>
        <v>TBD</v>
      </c>
      <c r="Y82" s="136" t="s">
        <v>648</v>
      </c>
      <c r="Z82" s="100">
        <f>VLOOKUP(C82,'Summary_by FY'!$C$1:$C$998,1,FALSE)</f>
        <v>21165</v>
      </c>
    </row>
    <row r="83" spans="1:26" s="143" customFormat="1" x14ac:dyDescent="0.4">
      <c r="A83" s="133">
        <f t="shared" si="3"/>
        <v>80</v>
      </c>
      <c r="B83" s="134" t="s">
        <v>89</v>
      </c>
      <c r="C83" s="145">
        <v>21173</v>
      </c>
      <c r="D83" s="136"/>
      <c r="E83" s="136" t="s">
        <v>661</v>
      </c>
      <c r="F83" s="136" t="s">
        <v>662</v>
      </c>
      <c r="G83" s="137" t="str">
        <f>VLOOKUP(F83,lookup!B:C,2,FALSE)</f>
        <v>College of Connected Computing</v>
      </c>
      <c r="H83" s="136" t="s">
        <v>593</v>
      </c>
      <c r="I83" s="136" t="s">
        <v>594</v>
      </c>
      <c r="J83" s="136" t="s">
        <v>430</v>
      </c>
      <c r="K83" s="136" t="s">
        <v>351</v>
      </c>
      <c r="L83" s="136" t="s">
        <v>148</v>
      </c>
      <c r="M83" s="138">
        <v>575000</v>
      </c>
      <c r="N83" s="139">
        <v>25550</v>
      </c>
      <c r="O83" s="139">
        <v>0</v>
      </c>
      <c r="P83" s="139">
        <v>25550</v>
      </c>
      <c r="Q83" s="139">
        <v>0</v>
      </c>
      <c r="R83" s="140"/>
      <c r="S83" s="141"/>
      <c r="T83" s="142"/>
      <c r="U83" s="132"/>
      <c r="V83" s="127">
        <f>'21173'!H9</f>
        <v>25550</v>
      </c>
      <c r="W83" s="127">
        <v>25550</v>
      </c>
      <c r="X83" s="128">
        <f t="shared" si="2"/>
        <v>51100</v>
      </c>
      <c r="Y83" s="136" t="s">
        <v>649</v>
      </c>
      <c r="Z83" s="100">
        <f>VLOOKUP(C83,'Summary_by FY'!$C$1:$C$998,1,FALSE)</f>
        <v>21173</v>
      </c>
    </row>
    <row r="84" spans="1:26" s="143" customFormat="1" x14ac:dyDescent="0.4">
      <c r="A84" s="133">
        <f t="shared" si="3"/>
        <v>81</v>
      </c>
      <c r="B84" s="134" t="s">
        <v>90</v>
      </c>
      <c r="C84" s="136">
        <v>21174</v>
      </c>
      <c r="D84" s="136"/>
      <c r="E84" s="136"/>
      <c r="F84" s="136" t="s">
        <v>413</v>
      </c>
      <c r="G84" s="137" t="str">
        <f>VLOOKUP(F84,lookup!B:C,2,FALSE)</f>
        <v>Arts &amp; Science</v>
      </c>
      <c r="H84" s="136" t="s">
        <v>241</v>
      </c>
      <c r="I84" s="136" t="s">
        <v>595</v>
      </c>
      <c r="J84" s="136" t="s">
        <v>430</v>
      </c>
      <c r="K84" s="136" t="s">
        <v>246</v>
      </c>
      <c r="L84" s="136" t="s">
        <v>243</v>
      </c>
      <c r="M84" s="138">
        <v>0</v>
      </c>
      <c r="N84" s="139">
        <v>0</v>
      </c>
      <c r="O84" s="139">
        <v>0</v>
      </c>
      <c r="P84" s="139">
        <v>0</v>
      </c>
      <c r="Q84" s="139">
        <v>0</v>
      </c>
      <c r="R84" s="140"/>
      <c r="S84" s="141"/>
      <c r="T84" s="142"/>
      <c r="U84" s="132"/>
      <c r="V84" s="127">
        <v>0</v>
      </c>
      <c r="W84" s="127" t="s">
        <v>205</v>
      </c>
      <c r="X84" s="128" t="str">
        <f t="shared" si="2"/>
        <v>TBD</v>
      </c>
      <c r="Y84" s="136" t="s">
        <v>650</v>
      </c>
      <c r="Z84" s="100">
        <f>VLOOKUP(C84,'Summary_by FY'!$C$1:$C$998,1,FALSE)</f>
        <v>21174</v>
      </c>
    </row>
    <row r="85" spans="1:26" s="143" customFormat="1" x14ac:dyDescent="0.4">
      <c r="A85" s="133">
        <f t="shared" si="3"/>
        <v>82</v>
      </c>
      <c r="B85" s="134" t="s">
        <v>89</v>
      </c>
      <c r="C85" s="136">
        <v>21175</v>
      </c>
      <c r="D85" s="136"/>
      <c r="E85" s="136"/>
      <c r="F85" s="136" t="s">
        <v>413</v>
      </c>
      <c r="G85" s="137" t="str">
        <f>VLOOKUP(F85,lookup!B:C,2,FALSE)</f>
        <v>Arts &amp; Science</v>
      </c>
      <c r="H85" s="136" t="s">
        <v>258</v>
      </c>
      <c r="I85" s="136" t="s">
        <v>596</v>
      </c>
      <c r="J85" s="136" t="s">
        <v>430</v>
      </c>
      <c r="K85" s="136" t="s">
        <v>351</v>
      </c>
      <c r="L85" s="136" t="s">
        <v>148</v>
      </c>
      <c r="M85" s="138">
        <v>0</v>
      </c>
      <c r="N85" s="139">
        <v>0</v>
      </c>
      <c r="O85" s="139">
        <v>0</v>
      </c>
      <c r="P85" s="139">
        <v>0</v>
      </c>
      <c r="Q85" s="139">
        <v>0</v>
      </c>
      <c r="R85" s="140"/>
      <c r="S85" s="141"/>
      <c r="T85" s="142"/>
      <c r="U85" s="132"/>
      <c r="V85" s="127">
        <v>0</v>
      </c>
      <c r="W85" s="127" t="s">
        <v>205</v>
      </c>
      <c r="X85" s="128" t="str">
        <f t="shared" si="2"/>
        <v>TBD</v>
      </c>
      <c r="Y85" s="136" t="s">
        <v>651</v>
      </c>
      <c r="Z85" s="100">
        <f>VLOOKUP(C85,'Summary_by FY'!$C$1:$C$998,1,FALSE)</f>
        <v>21175</v>
      </c>
    </row>
    <row r="86" spans="1:26" s="143" customFormat="1" x14ac:dyDescent="0.4">
      <c r="A86" s="133">
        <f t="shared" si="3"/>
        <v>83</v>
      </c>
      <c r="B86" s="134" t="s">
        <v>90</v>
      </c>
      <c r="C86" s="136">
        <v>21176</v>
      </c>
      <c r="D86" s="136"/>
      <c r="E86" s="136"/>
      <c r="F86" s="136" t="s">
        <v>153</v>
      </c>
      <c r="G86" s="137" t="str">
        <f>VLOOKUP(F86,lookup!B:C,2,FALSE)</f>
        <v>Law</v>
      </c>
      <c r="H86" s="136" t="s">
        <v>258</v>
      </c>
      <c r="I86" s="136" t="s">
        <v>597</v>
      </c>
      <c r="J86" s="136" t="s">
        <v>430</v>
      </c>
      <c r="K86" s="136" t="s">
        <v>100</v>
      </c>
      <c r="L86" s="136" t="s">
        <v>657</v>
      </c>
      <c r="M86" s="138">
        <v>160000</v>
      </c>
      <c r="N86" s="139">
        <v>0</v>
      </c>
      <c r="O86" s="139">
        <v>0</v>
      </c>
      <c r="P86" s="139">
        <v>0</v>
      </c>
      <c r="Q86" s="139">
        <v>0</v>
      </c>
      <c r="R86" s="140"/>
      <c r="S86" s="141"/>
      <c r="T86" s="142"/>
      <c r="U86" s="132"/>
      <c r="V86" s="127">
        <v>0</v>
      </c>
      <c r="W86" s="127">
        <v>160000</v>
      </c>
      <c r="X86" s="128">
        <f t="shared" si="2"/>
        <v>160000</v>
      </c>
      <c r="Y86" s="136" t="s">
        <v>652</v>
      </c>
      <c r="Z86" s="100">
        <f>VLOOKUP(C86,'Summary_by FY'!$C$1:$C$998,1,FALSE)</f>
        <v>21176</v>
      </c>
    </row>
    <row r="87" spans="1:26" s="143" customFormat="1" x14ac:dyDescent="0.4">
      <c r="A87" s="133">
        <f t="shared" si="3"/>
        <v>84</v>
      </c>
      <c r="B87" s="134" t="s">
        <v>89</v>
      </c>
      <c r="C87" s="136">
        <v>21177</v>
      </c>
      <c r="D87" s="136"/>
      <c r="E87" s="136"/>
      <c r="F87" s="136" t="s">
        <v>10</v>
      </c>
      <c r="G87" s="137" t="str">
        <f>VLOOKUP(F87,lookup!B:C,2,FALSE)</f>
        <v>Arts &amp; Science</v>
      </c>
      <c r="H87" s="136" t="s">
        <v>428</v>
      </c>
      <c r="I87" s="136" t="s">
        <v>598</v>
      </c>
      <c r="J87" s="136" t="s">
        <v>430</v>
      </c>
      <c r="K87" s="136" t="s">
        <v>246</v>
      </c>
      <c r="L87" s="136" t="s">
        <v>589</v>
      </c>
      <c r="M87" s="138">
        <v>2215000</v>
      </c>
      <c r="N87" s="139">
        <v>0</v>
      </c>
      <c r="O87" s="139">
        <v>0</v>
      </c>
      <c r="P87" s="139">
        <v>0</v>
      </c>
      <c r="Q87" s="139">
        <v>0</v>
      </c>
      <c r="R87" s="140"/>
      <c r="S87" s="141"/>
      <c r="T87" s="142"/>
      <c r="U87" s="132"/>
      <c r="V87" s="127">
        <v>0</v>
      </c>
      <c r="W87" s="127" t="s">
        <v>205</v>
      </c>
      <c r="X87" s="128" t="str">
        <f t="shared" si="2"/>
        <v>TBD</v>
      </c>
      <c r="Y87" s="136" t="s">
        <v>645</v>
      </c>
      <c r="Z87" s="100">
        <f>VLOOKUP(C87,'Summary_by FY'!$C$1:$C$998,1,FALSE)</f>
        <v>21177</v>
      </c>
    </row>
    <row r="88" spans="1:26" s="143" customFormat="1" x14ac:dyDescent="0.4">
      <c r="A88" s="133">
        <f t="shared" si="3"/>
        <v>85</v>
      </c>
      <c r="B88" s="134" t="s">
        <v>90</v>
      </c>
      <c r="C88" s="145">
        <v>21178</v>
      </c>
      <c r="D88" s="136"/>
      <c r="E88" s="136"/>
      <c r="F88" s="136" t="s">
        <v>153</v>
      </c>
      <c r="G88" s="137" t="str">
        <f>VLOOKUP(F88,lookup!B:C,2,FALSE)</f>
        <v>Law</v>
      </c>
      <c r="H88" s="136" t="s">
        <v>258</v>
      </c>
      <c r="I88" s="136" t="s">
        <v>613</v>
      </c>
      <c r="J88" s="136" t="s">
        <v>430</v>
      </c>
      <c r="K88" s="136" t="s">
        <v>101</v>
      </c>
      <c r="L88" s="136" t="s">
        <v>459</v>
      </c>
      <c r="M88" s="138">
        <v>30000</v>
      </c>
      <c r="N88" s="139">
        <v>75000</v>
      </c>
      <c r="O88" s="139">
        <v>24132</v>
      </c>
      <c r="P88" s="139">
        <v>24132</v>
      </c>
      <c r="Q88" s="139">
        <v>2500</v>
      </c>
      <c r="R88" s="140"/>
      <c r="S88" s="141"/>
      <c r="T88" s="142"/>
      <c r="U88" s="132"/>
      <c r="V88" s="127">
        <f>'21178'!H9</f>
        <v>75000</v>
      </c>
      <c r="W88" s="127">
        <v>75000</v>
      </c>
      <c r="X88" s="128">
        <f t="shared" si="2"/>
        <v>150000</v>
      </c>
      <c r="Y88" s="136" t="s">
        <v>653</v>
      </c>
      <c r="Z88" s="100">
        <f>VLOOKUP(C88,'Summary_by FY'!$C$1:$C$998,1,FALSE)</f>
        <v>21178</v>
      </c>
    </row>
    <row r="89" spans="1:26" s="143" customFormat="1" x14ac:dyDescent="0.4">
      <c r="A89" s="133">
        <f t="shared" si="3"/>
        <v>86</v>
      </c>
      <c r="B89" s="134" t="s">
        <v>89</v>
      </c>
      <c r="C89" s="136">
        <v>21189</v>
      </c>
      <c r="D89" s="136"/>
      <c r="E89" s="136"/>
      <c r="F89" s="136" t="s">
        <v>12</v>
      </c>
      <c r="G89" s="137" t="str">
        <f>VLOOKUP(F89,lookup!B:C,2,FALSE)</f>
        <v>Blair</v>
      </c>
      <c r="H89" s="136" t="s">
        <v>149</v>
      </c>
      <c r="I89" s="136" t="s">
        <v>614</v>
      </c>
      <c r="J89" s="136" t="s">
        <v>430</v>
      </c>
      <c r="K89" s="136" t="s">
        <v>351</v>
      </c>
      <c r="L89" s="136" t="s">
        <v>148</v>
      </c>
      <c r="M89" s="138">
        <v>800000</v>
      </c>
      <c r="N89" s="139">
        <v>0</v>
      </c>
      <c r="O89" s="139">
        <v>0</v>
      </c>
      <c r="P89" s="139">
        <v>0</v>
      </c>
      <c r="Q89" s="139">
        <v>0</v>
      </c>
      <c r="R89" s="140"/>
      <c r="S89" s="141"/>
      <c r="T89" s="142"/>
      <c r="U89" s="132"/>
      <c r="V89" s="127">
        <v>0</v>
      </c>
      <c r="W89" s="127">
        <v>800000</v>
      </c>
      <c r="X89" s="128">
        <f t="shared" si="2"/>
        <v>800000</v>
      </c>
      <c r="Y89" s="136" t="s">
        <v>654</v>
      </c>
      <c r="Z89" s="100">
        <f>VLOOKUP(C89,'Summary_by FY'!$C$1:$C$998,1,FALSE)</f>
        <v>21189</v>
      </c>
    </row>
    <row r="90" spans="1:26" s="143" customFormat="1" x14ac:dyDescent="0.4">
      <c r="A90" s="133">
        <f t="shared" si="3"/>
        <v>87</v>
      </c>
      <c r="B90" s="134" t="s">
        <v>89</v>
      </c>
      <c r="C90" s="136">
        <v>21198</v>
      </c>
      <c r="D90" s="46"/>
      <c r="E90" s="46"/>
      <c r="F90" s="46" t="s">
        <v>10</v>
      </c>
      <c r="G90" s="137" t="str">
        <f>VLOOKUP(F90,lookup!B:C,2,FALSE)</f>
        <v>Arts &amp; Science</v>
      </c>
      <c r="H90" s="46" t="s">
        <v>158</v>
      </c>
      <c r="I90" s="46" t="s">
        <v>615</v>
      </c>
      <c r="J90" s="46" t="s">
        <v>430</v>
      </c>
      <c r="K90" s="46" t="s">
        <v>351</v>
      </c>
      <c r="L90" s="46" t="s">
        <v>155</v>
      </c>
      <c r="M90" s="147">
        <v>1300000</v>
      </c>
      <c r="N90" s="139">
        <v>0</v>
      </c>
      <c r="O90" s="139">
        <v>0</v>
      </c>
      <c r="P90" s="139">
        <v>0</v>
      </c>
      <c r="Q90" s="148">
        <v>0</v>
      </c>
      <c r="R90" s="140"/>
      <c r="S90" s="141"/>
      <c r="T90" s="142"/>
      <c r="U90" s="132"/>
      <c r="V90" s="127">
        <v>0</v>
      </c>
      <c r="W90" s="127" t="s">
        <v>205</v>
      </c>
      <c r="X90" s="128" t="str">
        <f t="shared" si="2"/>
        <v>TBD</v>
      </c>
      <c r="Y90" s="136" t="s">
        <v>655</v>
      </c>
      <c r="Z90" s="100">
        <f>VLOOKUP(C90,'Summary_by FY'!$C$1:$C$998,1,FALSE)</f>
        <v>21198</v>
      </c>
    </row>
    <row r="91" spans="1:26" ht="15" thickBot="1" x14ac:dyDescent="0.45">
      <c r="B91" s="149"/>
      <c r="C91" s="149"/>
      <c r="D91" s="150"/>
      <c r="E91" s="149"/>
      <c r="F91" s="149"/>
      <c r="G91" s="151"/>
      <c r="H91" s="149"/>
      <c r="I91" s="149"/>
      <c r="J91" s="149"/>
      <c r="K91" s="149"/>
      <c r="L91" s="149"/>
      <c r="M91" s="152">
        <f>SUM(M4:M90)</f>
        <v>55542033.759999998</v>
      </c>
      <c r="N91" s="153">
        <f>SUM(N4:N90)</f>
        <v>40584416.639999986</v>
      </c>
      <c r="O91" s="153">
        <f>SUM(O4:O90)</f>
        <v>36917436.900000013</v>
      </c>
      <c r="P91" s="153">
        <f>SUM(P4:P90)</f>
        <v>36942986.900000013</v>
      </c>
      <c r="Q91" s="153">
        <f>SUM(Q4:Q90)</f>
        <v>29335787.700000007</v>
      </c>
      <c r="R91" s="154">
        <f t="shared" ref="R91:X91" si="4">SUM(R4:R90)</f>
        <v>865848.81</v>
      </c>
      <c r="S91" s="155">
        <f>SUM(S4:S90)</f>
        <v>8797286.2599999998</v>
      </c>
      <c r="T91" s="156">
        <f t="shared" si="4"/>
        <v>11427472.939999999</v>
      </c>
      <c r="U91" s="157">
        <f t="shared" si="4"/>
        <v>10171078.440000001</v>
      </c>
      <c r="V91" s="158">
        <f t="shared" si="4"/>
        <v>4096348.2199999997</v>
      </c>
      <c r="W91" s="158">
        <f t="shared" si="4"/>
        <v>5926988</v>
      </c>
      <c r="X91" s="159">
        <f t="shared" si="4"/>
        <v>10023336.219999999</v>
      </c>
      <c r="Y91" s="149"/>
    </row>
    <row r="92" spans="1:26" x14ac:dyDescent="0.4">
      <c r="S92" s="160" t="b">
        <f>S91='JE LOG_FY23'!C21</f>
        <v>1</v>
      </c>
      <c r="T92" s="160" t="b">
        <f>T91='JE LOG_FY24'!C21</f>
        <v>1</v>
      </c>
      <c r="U92" s="160" t="b">
        <f>U91='JE LOG_FY25'!C21</f>
        <v>1</v>
      </c>
      <c r="V92" s="160" t="b">
        <f>V91='JE LOG_FY26'!C21</f>
        <v>1</v>
      </c>
    </row>
    <row r="93" spans="1:26" x14ac:dyDescent="0.4">
      <c r="I93" s="161"/>
      <c r="J93" s="161"/>
      <c r="S93" s="160" t="b">
        <f>S91='Summary_for Web-2'!G93</f>
        <v>1</v>
      </c>
      <c r="T93" s="160" t="b">
        <f>T91='Summary_for Web-2'!H93</f>
        <v>1</v>
      </c>
      <c r="U93" s="160" t="b">
        <f>U91='Summary_for Web-2'!I93</f>
        <v>1</v>
      </c>
      <c r="V93" s="160" t="b">
        <f>V91='Summary_for Web-2'!J93</f>
        <v>1</v>
      </c>
    </row>
    <row r="94" spans="1:26" x14ac:dyDescent="0.4">
      <c r="I94" s="161" t="s">
        <v>211</v>
      </c>
      <c r="J94" s="162"/>
    </row>
    <row r="95" spans="1:26" x14ac:dyDescent="0.4">
      <c r="A95" s="95"/>
      <c r="I95" s="162"/>
      <c r="J95" s="162"/>
      <c r="M95" s="163"/>
      <c r="N95" s="163"/>
      <c r="O95" s="163"/>
      <c r="P95" s="163"/>
      <c r="Q95" s="163"/>
    </row>
    <row r="96" spans="1:26" x14ac:dyDescent="0.4">
      <c r="I96" s="162"/>
      <c r="J96" s="162"/>
      <c r="N96" s="163"/>
      <c r="O96" s="163"/>
      <c r="P96" s="163"/>
      <c r="Q96" s="163"/>
    </row>
    <row r="97" spans="9:17" x14ac:dyDescent="0.4">
      <c r="I97" s="162"/>
      <c r="K97" s="164"/>
      <c r="N97" s="163"/>
      <c r="O97" s="163"/>
      <c r="P97" s="163"/>
      <c r="Q97" s="163"/>
    </row>
    <row r="98" spans="9:17" x14ac:dyDescent="0.4">
      <c r="I98" s="162"/>
      <c r="J98" s="162"/>
      <c r="K98" s="164"/>
      <c r="N98" s="163"/>
      <c r="O98" s="163"/>
      <c r="P98" s="163"/>
      <c r="Q98" s="163"/>
    </row>
    <row r="99" spans="9:17" x14ac:dyDescent="0.4">
      <c r="I99" s="162"/>
      <c r="M99" s="163"/>
      <c r="N99" s="163"/>
      <c r="O99" s="163"/>
      <c r="P99" s="163"/>
      <c r="Q99" s="163"/>
    </row>
    <row r="100" spans="9:17" x14ac:dyDescent="0.4">
      <c r="N100" s="163"/>
      <c r="O100" s="163"/>
      <c r="P100" s="163"/>
      <c r="Q100" s="163"/>
    </row>
    <row r="102" spans="9:17" x14ac:dyDescent="0.4">
      <c r="J102" s="161"/>
    </row>
    <row r="103" spans="9:17" x14ac:dyDescent="0.4">
      <c r="J103" s="162"/>
    </row>
    <row r="104" spans="9:17" x14ac:dyDescent="0.4">
      <c r="I104" s="162"/>
      <c r="J104" s="162"/>
    </row>
    <row r="105" spans="9:17" x14ac:dyDescent="0.4">
      <c r="I105" s="162"/>
      <c r="J105" s="162"/>
    </row>
    <row r="106" spans="9:17" x14ac:dyDescent="0.4">
      <c r="I106" s="162"/>
      <c r="J106" s="162"/>
    </row>
    <row r="108" spans="9:17" x14ac:dyDescent="0.4">
      <c r="I108" s="165"/>
      <c r="J108" s="165"/>
    </row>
    <row r="109" spans="9:17" x14ac:dyDescent="0.4">
      <c r="I109" s="165"/>
      <c r="J109" s="165"/>
    </row>
  </sheetData>
  <sortState xmlns:xlrd2="http://schemas.microsoft.com/office/spreadsheetml/2017/richdata2" ref="A4:Y24">
    <sortCondition ref="C4:C24"/>
    <sortCondition ref="K4:K24"/>
    <sortCondition descending="1" ref="M4:M24"/>
  </sortState>
  <phoneticPr fontId="5" type="noConversion"/>
  <conditionalFormatting sqref="K1:K1048576">
    <cfRule type="cellIs" dxfId="16" priority="2" operator="equal">
      <formula>"Construction Closeout"</formula>
    </cfRule>
    <cfRule type="cellIs" dxfId="15" priority="3" operator="equal">
      <formula>"Warranty or Construction Closeout"</formula>
    </cfRule>
    <cfRule type="cellIs" dxfId="14" priority="4" operator="equal">
      <formula>"Financial Closeout"</formula>
    </cfRule>
  </conditionalFormatting>
  <conditionalFormatting sqref="R1:R1048576">
    <cfRule type="cellIs" dxfId="13" priority="1" operator="equal">
      <formula>"Warranty or Construction Closeout"</formula>
    </cfRule>
  </conditionalFormatting>
  <hyperlinks>
    <hyperlink ref="S1" location="'JE LOG_FY23'!A1" display="'JE LOG_FY23'!A1" xr:uid="{4AA5BFBA-BD76-4E23-903B-8F8B27E7CF98}"/>
    <hyperlink ref="T1" location="'JE LOG_FY24'!A1" display="'JE LOG_FY24'!A1" xr:uid="{99AF6BF7-AF06-41DE-9239-729475E55066}"/>
    <hyperlink ref="U1" location="'JE LOG_FY25'!A1" display="'JE LOG_FY25'!A1" xr:uid="{27F88C9C-3592-4973-933C-DA84C39B9FC4}"/>
    <hyperlink ref="V1" location="'JE LOG_FY26'!A1" display="'JE LOG_FY26'!A1" xr:uid="{161DE2CC-E676-4CA6-ACBB-6E52C96F4AA9}"/>
    <hyperlink ref="C78" location="'21127'!A1" display="'21127'!A1" xr:uid="{7D45B884-3F7B-4AA7-89EE-CE73D5763C86}"/>
    <hyperlink ref="C55" location="'20962'!A1" display="'20962'!A1" xr:uid="{BE5F856B-008D-4000-8068-6123FA77AA69}"/>
    <hyperlink ref="C52" location="'20940'!A1" display="'20940'!A1" xr:uid="{EE3676D0-B4DA-4B0D-B3D5-01778F90130E}"/>
    <hyperlink ref="C38" location="'20812'!A1" display="'20812'!A1" xr:uid="{5B2A3E53-2DE2-4F62-83A6-BCC62B092A70}"/>
    <hyperlink ref="C35" location="'20772'!A1" display="'20772'!A1" xr:uid="{E2146988-DDA0-4939-858D-0493332D8520}"/>
    <hyperlink ref="C48" location="'20922'!A1" display="'20922'!A1" xr:uid="{DACB93FE-E026-4492-95D4-62A4A7CDE4DF}"/>
    <hyperlink ref="C54" location="'20958'!A1" display="'20958'!A1" xr:uid="{7B8690CD-3C8D-4AA0-8DE4-3A8CD98E28D3}"/>
    <hyperlink ref="C43" location="'20884'!A1" display="'20884'!A1" xr:uid="{84FFE6CA-FEF8-4412-ACD3-EB98AD761E47}"/>
    <hyperlink ref="C37" location="'20811'!A1" display="'20811'!A1" xr:uid="{71BFB999-E30C-4639-A445-E958EE984BA3}"/>
    <hyperlink ref="C49" location="'20924'!A1" display="'20924'!A1" xr:uid="{4345F7B7-0073-4263-8BD0-B4D0390BEFB2}"/>
    <hyperlink ref="C51" location="'20936'!A1" display="'20936'!A1" xr:uid="{9C2BA3B2-64F9-4080-B767-E34AD0224F9B}"/>
    <hyperlink ref="C53" location="'20945'!A1" display="'20945'!A1" xr:uid="{CB0E891E-3E02-4299-95D4-124C099A482C}"/>
    <hyperlink ref="C33" location="'20767'!A1" display="'20767'!A1" xr:uid="{75388F17-E384-4428-8BFF-D4C156449535}"/>
    <hyperlink ref="C44" location="'20885'!A1" display="'20885'!A1" xr:uid="{C23E2461-412D-46B9-8764-3533EF3FFF30}"/>
    <hyperlink ref="C47" location="'20913'!A1" display="'20913'!A1" xr:uid="{495AC23D-8D67-4BBC-9782-C5F54726F3F8}"/>
    <hyperlink ref="C46" location="'20912'!A1" display="'20912'!A1" xr:uid="{51B82CFE-DB43-4221-B61A-F79AB22CDF20}"/>
    <hyperlink ref="C45" location="'20911'!A1" display="'20911'!A1" xr:uid="{5A7847D4-8EB2-4850-AAFA-711670B2EB33}"/>
    <hyperlink ref="C42" location="'20857'!A1" display="'20857'!A1" xr:uid="{4F373CCB-5B9B-496C-80AB-3C3313143CC6}"/>
    <hyperlink ref="C39" location="'20831'!A1" display="'20831'!A1" xr:uid="{B4100B18-B071-4D4E-B0B0-FC25FA5C0356}"/>
    <hyperlink ref="C40" location="'20832'!A1" display="'20832'!A1" xr:uid="{558B6E4F-42AF-4C1D-A848-552C93D37A2B}"/>
    <hyperlink ref="C41" location="'20833'!A1" display="'20833'!A1" xr:uid="{D660A35B-E5FA-4306-B284-C599161FF1B9}"/>
    <hyperlink ref="C34" location="'20771'!A1" display="'20771'!A1" xr:uid="{9CCE891A-4EAE-45F0-97BC-86E45CF5D430}"/>
    <hyperlink ref="C36" location="'20792'!A1" display="'20792'!A1" xr:uid="{97B25019-50BA-4723-B61B-4F5C13979F91}"/>
    <hyperlink ref="C32" location="'20735'!A1" display="'20735'!A1" xr:uid="{281D51F0-83F8-4122-802A-733DE5411652}"/>
    <hyperlink ref="C31" location="'20724'!A1" display="'20724'!A1" xr:uid="{B28A8F17-F6BC-4BCC-9062-12EB54161B68}"/>
    <hyperlink ref="C30" location="'20723'!A1" display="'20723'!A1" xr:uid="{E58F18E4-8CE2-43E5-8E13-6E4EA658536A}"/>
    <hyperlink ref="C29" location="'20718'!A1" display="'20718'!A1" xr:uid="{18ADD449-2D9B-458A-9F77-6CF3FFB38953}"/>
    <hyperlink ref="C28" location="'20702'!A1" display="'20702'!A1" xr:uid="{95ABA0AF-84D5-44F1-9DE8-F420044682C0}"/>
    <hyperlink ref="C27" location="'20701'!A1" display="'20701'!A1" xr:uid="{522EC4C6-1BB6-426D-9A22-93A808432E75}"/>
    <hyperlink ref="C26" location="'20700'!A1" display="'20700'!A1" xr:uid="{9B9974FF-2668-4A8D-8324-DB31439E834C}"/>
    <hyperlink ref="C25" location="'20698'!A1" display="'20698'!A1" xr:uid="{2C14D74A-7E9A-4498-9A54-2F16479FB91A}"/>
    <hyperlink ref="C24" location="'20668'!A1" display="'20668'!A1" xr:uid="{71996D7E-F482-4DA2-96F5-C382FB8E6C8A}"/>
    <hyperlink ref="C23" location="'20667'!A1" display="'20667'!A1" xr:uid="{B0EFA3A9-F118-4010-BC9B-FFB850AE03D3}"/>
    <hyperlink ref="C22" location="'20645'!A1" display="'20645'!A1" xr:uid="{5C077A91-6F5B-4609-96DB-D5862E31195D}"/>
    <hyperlink ref="C21" location="'20644'!A1" display="'20644'!A1" xr:uid="{56D90246-5045-4E6D-920C-C9EB79BA1867}"/>
    <hyperlink ref="C20" location="'20577'!A1" display="'20577'!A1" xr:uid="{E4E03EDC-1D85-495A-996F-28BDA1FE2D95}"/>
    <hyperlink ref="C19" location="'20574'!A1" display="'20574'!A1" xr:uid="{3F58BF7F-74EA-40E1-A2D9-B0788A4CAA56}"/>
    <hyperlink ref="C18" location="'20573'!A1" display="'20573'!A1" xr:uid="{7DC91A01-1BD7-4CBA-80B9-1CB0017E903C}"/>
    <hyperlink ref="C17" location="'20566'!A1" display="'20566'!A1" xr:uid="{65FBC9C7-BEE8-4170-8DEC-6BD53C5DB8F2}"/>
    <hyperlink ref="C15" location="'20562'!A1" display="'20562'!A1" xr:uid="{F63E76B8-75D7-495E-B439-FA9B60CEC18B}"/>
    <hyperlink ref="C13" location="'20506'!A1" display="'20506'!A1" xr:uid="{B96F768D-31D9-4A7D-B477-3010B4993724}"/>
    <hyperlink ref="C12" location="'20497'!A1" display="'20497'!A1" xr:uid="{A285E0E7-E54C-46AC-8F3E-DBB506498D71}"/>
    <hyperlink ref="C11" location="'20489'!A1" display="'20489'!A1" xr:uid="{9D7230F2-BDBE-41B1-B203-593A2F245F0A}"/>
    <hyperlink ref="C10" location="'20478'!A1" display="'20478'!A1" xr:uid="{C7EF4184-FED0-4DED-8D60-3EF1EE199007}"/>
    <hyperlink ref="C9" location="'20431'!A1" display="'20431'!A1" xr:uid="{07FBEB51-1B05-4E73-A12A-C27287215C2B}"/>
    <hyperlink ref="C8" location="'20336'!A1" display="'20336'!A1" xr:uid="{2DC0FA85-9BAB-4AC1-ABDC-23DF9A3A008E}"/>
    <hyperlink ref="C50" location="'20925'!A1" display="'20925'!A1" xr:uid="{4F815D40-5348-406D-89A6-A9494D4C84F7}"/>
    <hyperlink ref="C56" location="'20979'!A1" display="'20979'!A1" xr:uid="{49AF7642-DFDE-48DA-ADC6-81CFADA86593}"/>
    <hyperlink ref="C64" location="'21035'!A1" display="'21035'!A1" xr:uid="{F01D44F9-A855-41ED-A8C4-1108C6B5EE0F}"/>
    <hyperlink ref="C77" location="'21114'!A1" display="'21114'!A1" xr:uid="{A3CF568F-7A41-4EEE-93EC-21C0EC7C94EF}"/>
    <hyperlink ref="C57" location="'20982'!A1" display="'20982'!A1" xr:uid="{2C0D124B-7CDE-4C8A-B688-7DDE35A20234}"/>
    <hyperlink ref="C58" location="'20984'!A1" display="'20984'!A1" xr:uid="{4FE55E87-CD0F-4AE8-85DA-E42C935DC626}"/>
    <hyperlink ref="C59" location="'21004'!A1" display="'21004'!A1" xr:uid="{39EC9F03-2100-4A68-B3A0-F1D90D52DF54}"/>
    <hyperlink ref="C75" location="'21108'!A1" display="'21108'!A1" xr:uid="{BE645DE1-86E6-4C85-81DA-A18E19B7246E}"/>
    <hyperlink ref="C67" location="'21067'!A1" display="'21067'!A1" xr:uid="{B8709B91-BAF1-4F55-ADDE-8E7A8D758358}"/>
    <hyperlink ref="C68" location="'21068'!A1" display="'21068'!A1" xr:uid="{555A5378-E0D1-4879-B250-002C11FA8095}"/>
    <hyperlink ref="C63" location="'21010'!A1" display="'21010'!A1" xr:uid="{867A0B3E-0952-46D1-8872-8976870DB5E2}"/>
    <hyperlink ref="C74" location="'21094'!A1" display="'21094'!A1" xr:uid="{5FD398A0-B01C-40E4-9BCE-A9F3885480E6}"/>
    <hyperlink ref="C70" location="'21071'!A1" display="'21071'!A1" xr:uid="{BEE51AAB-95CB-4218-BEF6-7C5B9FA5B0AA}"/>
    <hyperlink ref="C66" location="'21066'!A1" display="'21066'!A1" xr:uid="{A5B96C13-E47D-4833-8B69-FACF3A861477}"/>
    <hyperlink ref="C69" location="'21070'!A1" display="'21070'!A1" xr:uid="{C51361B1-7531-4369-868B-004477124E67}"/>
    <hyperlink ref="C4" location="'10085'!A1" display="'10085'!A1" xr:uid="{28D4DF83-C31B-47FC-9AC0-5D220C97A63C}"/>
    <hyperlink ref="C5" location="'10098'!A1" display="'10098'!A1" xr:uid="{373BE11F-2E64-482C-B05A-BB275305D949}"/>
    <hyperlink ref="C6" location="'10146'!A1" display="'10146'!A1" xr:uid="{FF0F8BA0-459A-408F-B9D3-FA7F2D2EE021}"/>
    <hyperlink ref="C7" location="'20179'!A1" display="'20179'!A1" xr:uid="{55B14098-0F8C-43BE-9FE8-0D88F96B1BCA}"/>
    <hyperlink ref="C88" location="'21178'!A1" display="'21178'!A1" xr:uid="{62E50B5B-1D2E-4E7C-97CD-D2FD56FE0052}"/>
    <hyperlink ref="C80" location="'21156'!A1" display="'21156'!A1" xr:uid="{055A9330-18F4-4799-A327-BB1FEDEF9088}"/>
    <hyperlink ref="C83" location="'21173'!A1" display="'21173'!A1" xr:uid="{1FC1E88B-5DE7-4F09-B2A3-EF3996C3ADD1}"/>
    <hyperlink ref="C65" location="'21051'!A1" display="'21051'!A1" xr:uid="{61DBE937-4ACB-4ADA-B9B4-B347028350E4}"/>
  </hyperlinks>
  <pageMargins left="0.7" right="0.7" top="0.75" bottom="0.75" header="0.3" footer="0.3"/>
  <pageSetup orientation="portrait" r:id="rId1"/>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7EDD1-8732-45EC-873C-E939AA7758FF}">
  <sheetPr>
    <tabColor theme="4"/>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4.3046875" style="39" bestFit="1" customWidth="1"/>
    <col min="3" max="3" width="10.69140625" style="39" bestFit="1" customWidth="1"/>
    <col min="4" max="4" width="39.3046875" style="39" bestFit="1" customWidth="1"/>
    <col min="5" max="5" width="27.15234375" style="39" bestFit="1" customWidth="1"/>
    <col min="6" max="6" width="22.69140625" style="39" bestFit="1" customWidth="1"/>
    <col min="7" max="7" width="12.15234375" style="39" bestFit="1" customWidth="1"/>
    <col min="8" max="8" width="16.53515625" style="39" bestFit="1" customWidth="1"/>
    <col min="9" max="9" width="11.6914062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21071</v>
      </c>
      <c r="B4" s="46">
        <f>VLOOKUP(A4,'Project Status'!C:D,2,FALSE)</f>
        <v>0</v>
      </c>
      <c r="C4" s="46" t="str">
        <f>VLOOKUP(A4,'Project Status'!C:E,3,FALSE)</f>
        <v>CP_400313</v>
      </c>
      <c r="D4" s="46" t="s">
        <v>10</v>
      </c>
      <c r="E4" s="46" t="str">
        <f>VLOOKUP(A4,'Project Status'!C:I,7,FALSE)</f>
        <v>SC1 - MEP Feasibility Study</v>
      </c>
      <c r="F4" s="46" t="str">
        <f>VLOOKUP(A4,'Project Status'!C:K,9,FALSE)</f>
        <v>Programming or Planning</v>
      </c>
      <c r="G4" s="46" t="str">
        <f>VLOOKUP(A4,'Project Status'!C:L,10,FALSE)</f>
        <v>Sean Rewers</v>
      </c>
      <c r="H4" s="47">
        <f>VLOOKUP(A4,'Project Status'!C:N,12,FALSE)</f>
        <v>19440</v>
      </c>
      <c r="I4" s="48">
        <f>VLOOKUP(A4,'Project Status'!C:Q,15,FALSE)</f>
        <v>16524</v>
      </c>
    </row>
    <row r="8" spans="1:11" x14ac:dyDescent="0.4">
      <c r="E8" s="52" t="s">
        <v>123</v>
      </c>
    </row>
    <row r="9" spans="1:11" x14ac:dyDescent="0.4">
      <c r="E9" s="53" t="s">
        <v>448</v>
      </c>
      <c r="F9" s="39" t="s">
        <v>138</v>
      </c>
      <c r="H9" s="49">
        <v>19440</v>
      </c>
    </row>
    <row r="12" spans="1:11" x14ac:dyDescent="0.4">
      <c r="F12" s="56"/>
      <c r="G12" s="56"/>
      <c r="H12" s="69"/>
    </row>
    <row r="18" spans="5:8" x14ac:dyDescent="0.4">
      <c r="E18" s="64" t="s">
        <v>250</v>
      </c>
      <c r="F18" s="65"/>
      <c r="G18" s="64"/>
      <c r="H18" s="66">
        <f>SUM(H9:H17)</f>
        <v>19440</v>
      </c>
    </row>
    <row r="20" spans="5:8" x14ac:dyDescent="0.4">
      <c r="E20" s="67" t="s">
        <v>135</v>
      </c>
      <c r="F20" s="67"/>
      <c r="G20" s="67"/>
      <c r="H20" s="68">
        <f>H4-H18</f>
        <v>0</v>
      </c>
    </row>
  </sheetData>
  <hyperlinks>
    <hyperlink ref="K1" location="'Project Status'!A1" display="'Project Status'!A1" xr:uid="{893985EE-E199-4FF3-8598-E557AE11CD25}"/>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920F-A456-41D6-9FAC-10700619817D}">
  <sheetPr>
    <tabColor rgb="FFFFFF93"/>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4.3046875" style="39" bestFit="1" customWidth="1"/>
    <col min="3" max="3" width="6.84375" style="39" bestFit="1" customWidth="1"/>
    <col min="4" max="4" width="28.15234375" style="39" bestFit="1" customWidth="1"/>
    <col min="5" max="5" width="32" style="39" bestFit="1" customWidth="1"/>
    <col min="6" max="6" width="17.3046875" style="39" bestFit="1" customWidth="1"/>
    <col min="7" max="7" width="12.15234375" style="39" bestFit="1" customWidth="1"/>
    <col min="8" max="8" width="16.53515625" style="39" bestFit="1" customWidth="1"/>
    <col min="9" max="9" width="11.6914062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21094</v>
      </c>
      <c r="B4" s="46">
        <f>VLOOKUP(A4,'Project Status'!C:D,2,FALSE)</f>
        <v>0</v>
      </c>
      <c r="C4" s="46">
        <f>VLOOKUP(A4,'Project Status'!C:E,3,FALSE)</f>
        <v>0</v>
      </c>
      <c r="D4" s="46" t="str">
        <f>VLOOKUP(A4,'Project Status'!C:F,4,FALSE)</f>
        <v>17000 - Law: Office of the Dean</v>
      </c>
      <c r="E4" s="46" t="str">
        <f>VLOOKUP(A4,'Project Status'!C:I,7,FALSE)</f>
        <v>Godchaux Hall - Replace Fire Pump</v>
      </c>
      <c r="F4" s="46" t="str">
        <f>VLOOKUP(A4,'Project Status'!C:K,9,FALSE)</f>
        <v>Financial Closeout</v>
      </c>
      <c r="G4" s="46" t="str">
        <f>VLOOKUP(A4,'Project Status'!C:L,10,FALSE)</f>
        <v>Sean Rewers</v>
      </c>
      <c r="H4" s="47">
        <f>VLOOKUP(A4,'Project Status'!C:N,12,FALSE)</f>
        <v>87500</v>
      </c>
      <c r="I4" s="48">
        <f>VLOOKUP(A4,'Project Status'!C:Q,15,FALSE)</f>
        <v>48640</v>
      </c>
    </row>
    <row r="8" spans="1:11" x14ac:dyDescent="0.4">
      <c r="E8" s="52" t="s">
        <v>123</v>
      </c>
    </row>
    <row r="9" spans="1:11" x14ac:dyDescent="0.4">
      <c r="E9" s="53" t="s">
        <v>448</v>
      </c>
      <c r="F9" s="39" t="s">
        <v>138</v>
      </c>
      <c r="H9" s="49">
        <v>87500</v>
      </c>
    </row>
    <row r="12" spans="1:11" x14ac:dyDescent="0.4">
      <c r="F12" s="56"/>
      <c r="G12" s="56"/>
      <c r="H12" s="69"/>
    </row>
    <row r="18" spans="5:8" x14ac:dyDescent="0.4">
      <c r="E18" s="64" t="s">
        <v>250</v>
      </c>
      <c r="F18" s="65"/>
      <c r="G18" s="64"/>
      <c r="H18" s="66">
        <f>SUM(H9:H17)</f>
        <v>87500</v>
      </c>
    </row>
    <row r="20" spans="5:8" x14ac:dyDescent="0.4">
      <c r="E20" s="67" t="s">
        <v>135</v>
      </c>
      <c r="F20" s="67"/>
      <c r="G20" s="67"/>
      <c r="H20" s="68">
        <f>H4-H18</f>
        <v>0</v>
      </c>
    </row>
  </sheetData>
  <hyperlinks>
    <hyperlink ref="K1" location="'Project Status'!A1" display="'Project Status'!A1" xr:uid="{CB19AE4F-ECFC-44BA-9562-87F53966222D}"/>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B1ADF-94AD-44B0-A9C5-74998E3EC6B1}">
  <sheetPr>
    <tabColor theme="1"/>
  </sheetPr>
  <dimension ref="A1:K20"/>
  <sheetViews>
    <sheetView zoomScale="90" zoomScaleNormal="90" workbookViewId="0"/>
  </sheetViews>
  <sheetFormatPr defaultRowHeight="14.6" x14ac:dyDescent="0.4"/>
  <cols>
    <col min="1" max="1" width="8.53515625" bestFit="1" customWidth="1"/>
    <col min="2" max="2" width="4.69140625" bestFit="1" customWidth="1"/>
    <col min="3" max="3" width="6.69140625" bestFit="1" customWidth="1"/>
    <col min="4" max="4" width="36.15234375" bestFit="1" customWidth="1"/>
    <col min="5" max="5" width="41.69140625" bestFit="1" customWidth="1"/>
    <col min="6" max="6" width="17.53515625" bestFit="1" customWidth="1"/>
    <col min="7" max="7" width="12.3046875" bestFit="1" customWidth="1"/>
    <col min="8" max="8" width="16.53515625" bestFit="1" customWidth="1"/>
    <col min="9" max="9" width="11.15234375" bestFit="1" customWidth="1"/>
    <col min="11" max="11" width="16.6914062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21108</v>
      </c>
      <c r="B4" s="9">
        <f>VLOOKUP(A4,'Project Status'!C:D,2,FALSE)</f>
        <v>0</v>
      </c>
      <c r="C4" s="9">
        <f>VLOOKUP(A4,'Project Status'!C:E,3,FALSE)</f>
        <v>0</v>
      </c>
      <c r="D4" s="9" t="str">
        <f>VLOOKUP(A4,'Project Status'!C:F,4,FALSE)</f>
        <v>19100 - Nursing: Business Affairs</v>
      </c>
      <c r="E4" s="9" t="str">
        <f>VLOOKUP(A4,'Project Status'!C:I,7,FALSE)</f>
        <v>1025 16th Avenue - Electrical and HVAC Study</v>
      </c>
      <c r="F4" s="9" t="str">
        <f>VLOOKUP(A4,'Project Status'!C:K,9,FALSE)</f>
        <v>Finalized</v>
      </c>
      <c r="G4" s="9" t="str">
        <f>VLOOKUP(A4,'Project Status'!C:L,10,FALSE)</f>
        <v>Sean Rewers</v>
      </c>
      <c r="H4" s="25">
        <f>VLOOKUP(A4,'Project Status'!C:N,12,FALSE)</f>
        <v>5000</v>
      </c>
      <c r="I4" s="35">
        <f>VLOOKUP(A4,'Project Status'!C:Q,15,FALSE)</f>
        <v>5000</v>
      </c>
    </row>
    <row r="8" spans="1:11" x14ac:dyDescent="0.4">
      <c r="E8" s="19" t="s">
        <v>123</v>
      </c>
    </row>
    <row r="9" spans="1:11" x14ac:dyDescent="0.4">
      <c r="E9" s="11" t="s">
        <v>448</v>
      </c>
      <c r="F9" t="s">
        <v>138</v>
      </c>
      <c r="H9" s="20">
        <v>5000</v>
      </c>
    </row>
    <row r="10" spans="1:11" x14ac:dyDescent="0.4">
      <c r="E10" s="11"/>
      <c r="H10" s="20"/>
    </row>
    <row r="12" spans="1:11" x14ac:dyDescent="0.4">
      <c r="F12" s="8"/>
      <c r="G12" s="8"/>
      <c r="H12" s="23"/>
    </row>
    <row r="18" spans="5:8" x14ac:dyDescent="0.4">
      <c r="E18" s="28" t="s">
        <v>250</v>
      </c>
      <c r="F18" s="29"/>
      <c r="G18" s="28"/>
      <c r="H18" s="30">
        <f>SUM(H9:H17)</f>
        <v>5000</v>
      </c>
    </row>
    <row r="20" spans="5:8" x14ac:dyDescent="0.4">
      <c r="E20" s="31" t="s">
        <v>135</v>
      </c>
      <c r="F20" s="31"/>
      <c r="G20" s="31"/>
      <c r="H20" s="32">
        <f>H4-H18</f>
        <v>0</v>
      </c>
    </row>
  </sheetData>
  <hyperlinks>
    <hyperlink ref="K1" location="'Project Status'!A1" display="'Project Status'!A1" xr:uid="{BEA218D8-DF69-48B2-BAA2-770FD5553C07}"/>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1F48F-E11E-490F-85FD-21DD0E41B3C3}">
  <sheetPr>
    <tabColor theme="4"/>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4.3046875" style="39" bestFit="1" customWidth="1"/>
    <col min="3" max="3" width="6.84375" style="39" bestFit="1" customWidth="1"/>
    <col min="4" max="4" width="34.69140625" style="39" bestFit="1" customWidth="1"/>
    <col min="5" max="5" width="40" style="39" bestFit="1" customWidth="1"/>
    <col min="6" max="6" width="12.15234375" style="39" bestFit="1" customWidth="1"/>
    <col min="7" max="7" width="13.69140625" style="39" bestFit="1" customWidth="1"/>
    <col min="8" max="8" width="16.53515625" style="39" bestFit="1" customWidth="1"/>
    <col min="9" max="9" width="10.6914062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21113</v>
      </c>
      <c r="B4" s="46">
        <f>VLOOKUP(A4,'Project Status'!C:D,2,FALSE)</f>
        <v>0</v>
      </c>
      <c r="C4" s="46">
        <f>VLOOKUP(A4,'Project Status'!C:E,3,FALSE)</f>
        <v>0</v>
      </c>
      <c r="D4" s="46" t="str">
        <f>VLOOKUP(A4,'Project Status'!C:F,4,FALSE)</f>
        <v>15000 - Engineering: Office of the Dean</v>
      </c>
      <c r="E4" s="46" t="str">
        <f>VLOOKUP(A4,'Project Status'!C:I,7,FALSE)</f>
        <v>MRBIII - Lecture Hall V1220 Lighting Upgrade</v>
      </c>
      <c r="F4" s="46" t="str">
        <f>VLOOKUP(A4,'Project Status'!C:K,9,FALSE)</f>
        <v>Construction</v>
      </c>
      <c r="G4" s="46" t="str">
        <f>VLOOKUP(A4,'Project Status'!C:L,10,FALSE)</f>
        <v>Jay Surprenant</v>
      </c>
      <c r="H4" s="47">
        <f>VLOOKUP(A4,'Project Status'!C:N,12,FALSE)</f>
        <v>82125</v>
      </c>
      <c r="I4" s="48">
        <f>VLOOKUP(A4,'Project Status'!C:Q,15,FALSE)</f>
        <v>0</v>
      </c>
    </row>
    <row r="8" spans="1:11" x14ac:dyDescent="0.4">
      <c r="E8" s="52" t="s">
        <v>123</v>
      </c>
    </row>
    <row r="9" spans="1:11" x14ac:dyDescent="0.4">
      <c r="E9" s="53" t="s">
        <v>552</v>
      </c>
      <c r="F9" s="39" t="s">
        <v>138</v>
      </c>
      <c r="H9" s="49">
        <v>82125</v>
      </c>
    </row>
    <row r="10" spans="1:11" x14ac:dyDescent="0.4">
      <c r="E10" s="53"/>
      <c r="H10" s="49"/>
    </row>
    <row r="12" spans="1:11" x14ac:dyDescent="0.4">
      <c r="F12" s="56"/>
      <c r="G12" s="56"/>
      <c r="H12" s="69"/>
    </row>
    <row r="18" spans="5:8" x14ac:dyDescent="0.4">
      <c r="E18" s="64" t="s">
        <v>250</v>
      </c>
      <c r="F18" s="65"/>
      <c r="G18" s="64"/>
      <c r="H18" s="66">
        <f>SUM(H9:H17)</f>
        <v>82125</v>
      </c>
    </row>
    <row r="20" spans="5:8" x14ac:dyDescent="0.4">
      <c r="E20" s="67" t="s">
        <v>135</v>
      </c>
      <c r="F20" s="67"/>
      <c r="G20" s="67"/>
      <c r="H20" s="68">
        <f>H4-H18</f>
        <v>0</v>
      </c>
    </row>
  </sheetData>
  <hyperlinks>
    <hyperlink ref="K1" location="'Project Status'!A1" display="'Project Status'!A1" xr:uid="{81DEBFE9-3C05-4B30-86B3-6DA48C69E5C6}"/>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D7054-1BCD-4DA5-9A7C-F1A98482E973}">
  <sheetPr>
    <tabColor theme="4"/>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4.3046875" style="39" bestFit="1" customWidth="1"/>
    <col min="3" max="3" width="6.84375" style="39" bestFit="1" customWidth="1"/>
    <col min="4" max="4" width="37.84375" style="39" bestFit="1" customWidth="1"/>
    <col min="5" max="5" width="42.69140625" style="39" bestFit="1" customWidth="1"/>
    <col min="6" max="6" width="12.15234375" style="39" bestFit="1" customWidth="1"/>
    <col min="7" max="7" width="13.69140625" style="39" bestFit="1" customWidth="1"/>
    <col min="8" max="8" width="16.53515625" style="39" bestFit="1" customWidth="1"/>
    <col min="9" max="9" width="10.6914062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21114</v>
      </c>
      <c r="B4" s="46">
        <f>VLOOKUP(A4,'Project Status'!C:D,2,FALSE)</f>
        <v>0</v>
      </c>
      <c r="C4" s="46">
        <f>VLOOKUP(A4,'Project Status'!C:E,3,FALSE)</f>
        <v>0</v>
      </c>
      <c r="D4" s="46" t="str">
        <f>VLOOKUP(A4,'Project Status'!C:F,4,FALSE)</f>
        <v>18200 - Basic Sciences: Office of the Dean</v>
      </c>
      <c r="E4" s="46" t="str">
        <f>VLOOKUP(A4,'Project Status'!C:I,7,FALSE)</f>
        <v>MRBIII - Chemical Discharge Tank Replacement</v>
      </c>
      <c r="F4" s="46" t="str">
        <f>VLOOKUP(A4,'Project Status'!C:K,9,FALSE)</f>
        <v>Construction</v>
      </c>
      <c r="G4" s="46" t="str">
        <f>VLOOKUP(A4,'Project Status'!C:L,10,FALSE)</f>
        <v>Jay Surprenant</v>
      </c>
      <c r="H4" s="47">
        <f>VLOOKUP(A4,'Project Status'!C:N,12,FALSE)</f>
        <v>68452</v>
      </c>
      <c r="I4" s="48">
        <f>VLOOKUP(A4,'Project Status'!C:Q,15,FALSE)</f>
        <v>0</v>
      </c>
    </row>
    <row r="8" spans="1:11" x14ac:dyDescent="0.4">
      <c r="E8" s="52" t="s">
        <v>123</v>
      </c>
    </row>
    <row r="9" spans="1:11" x14ac:dyDescent="0.4">
      <c r="E9" s="39" t="s">
        <v>456</v>
      </c>
      <c r="F9" s="39" t="s">
        <v>138</v>
      </c>
      <c r="H9" s="49">
        <v>68452</v>
      </c>
    </row>
    <row r="10" spans="1:11" x14ac:dyDescent="0.4">
      <c r="E10" s="53"/>
      <c r="H10" s="49"/>
    </row>
    <row r="12" spans="1:11" x14ac:dyDescent="0.4">
      <c r="F12" s="56"/>
      <c r="G12" s="56"/>
      <c r="H12" s="69"/>
    </row>
    <row r="18" spans="5:8" x14ac:dyDescent="0.4">
      <c r="E18" s="64" t="s">
        <v>250</v>
      </c>
      <c r="F18" s="65"/>
      <c r="G18" s="64"/>
      <c r="H18" s="66">
        <f>SUM(H9:H17)</f>
        <v>68452</v>
      </c>
    </row>
    <row r="20" spans="5:8" x14ac:dyDescent="0.4">
      <c r="E20" s="67" t="s">
        <v>135</v>
      </c>
      <c r="F20" s="67"/>
      <c r="G20" s="67"/>
      <c r="H20" s="68">
        <f>H4-H18</f>
        <v>0</v>
      </c>
    </row>
  </sheetData>
  <hyperlinks>
    <hyperlink ref="K1" location="'Project Status'!A1" display="'Project Status'!A1" xr:uid="{A49476B6-38F8-474E-8A07-33655AFD085C}"/>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2E1E4-9D25-457A-84D5-EEAF952B1ED0}">
  <sheetPr>
    <tabColor theme="4"/>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4.3046875" style="39" bestFit="1" customWidth="1"/>
    <col min="3" max="3" width="10.69140625" style="39" bestFit="1" customWidth="1"/>
    <col min="4" max="4" width="37.84375" style="39" bestFit="1" customWidth="1"/>
    <col min="5" max="5" width="28.84375" style="39" bestFit="1" customWidth="1"/>
    <col min="6" max="6" width="12.15234375" style="39" bestFit="1" customWidth="1"/>
    <col min="7" max="7" width="13.69140625" style="39" bestFit="1" customWidth="1"/>
    <col min="8" max="8" width="16.53515625" style="39" bestFit="1" customWidth="1"/>
    <col min="9" max="9" width="10.6914062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21127</v>
      </c>
      <c r="B4" s="46">
        <f>VLOOKUP(A4,'Project Status'!C:D,2,FALSE)</f>
        <v>0</v>
      </c>
      <c r="C4" s="46" t="str">
        <f>VLOOKUP(A4,'Project Status'!C:E,3,FALSE)</f>
        <v>CP_400334</v>
      </c>
      <c r="D4" s="46" t="str">
        <f>VLOOKUP(A4,'Project Status'!C:F,4,FALSE)</f>
        <v>18200 - Basic Sciences: Office of the Dean</v>
      </c>
      <c r="E4" s="46" t="str">
        <f>VLOOKUP(A4,'Project Status'!C:I,7,FALSE)</f>
        <v>MRBIII - Cooling Tower Overhaul</v>
      </c>
      <c r="F4" s="46" t="str">
        <f>VLOOKUP(A4,'Project Status'!C:K,9,FALSE)</f>
        <v>Construction</v>
      </c>
      <c r="G4" s="46" t="str">
        <f>VLOOKUP(A4,'Project Status'!C:L,10,FALSE)</f>
        <v>Jay Surprenant</v>
      </c>
      <c r="H4" s="47">
        <f>VLOOKUP(A4,'Project Status'!C:N,12,FALSE)</f>
        <v>449020</v>
      </c>
      <c r="I4" s="48">
        <f>VLOOKUP(A4,'Project Status'!C:Q,15,FALSE)</f>
        <v>0</v>
      </c>
    </row>
    <row r="8" spans="1:11" x14ac:dyDescent="0.4">
      <c r="E8" s="52" t="s">
        <v>123</v>
      </c>
    </row>
    <row r="9" spans="1:11" x14ac:dyDescent="0.4">
      <c r="E9" s="39" t="s">
        <v>581</v>
      </c>
      <c r="F9" s="39" t="s">
        <v>138</v>
      </c>
      <c r="H9" s="49">
        <v>449020</v>
      </c>
    </row>
    <row r="10" spans="1:11" x14ac:dyDescent="0.4">
      <c r="E10" s="53"/>
      <c r="H10" s="49"/>
    </row>
    <row r="12" spans="1:11" x14ac:dyDescent="0.4">
      <c r="F12" s="56"/>
      <c r="G12" s="56"/>
      <c r="H12" s="69"/>
    </row>
    <row r="18" spans="5:8" x14ac:dyDescent="0.4">
      <c r="E18" s="64" t="s">
        <v>250</v>
      </c>
      <c r="F18" s="65"/>
      <c r="G18" s="64"/>
      <c r="H18" s="66">
        <f>SUM(H9:H17)</f>
        <v>449020</v>
      </c>
    </row>
    <row r="20" spans="5:8" x14ac:dyDescent="0.4">
      <c r="E20" s="67" t="s">
        <v>135</v>
      </c>
      <c r="F20" s="67"/>
      <c r="G20" s="67"/>
      <c r="H20" s="68">
        <f>H4-H18</f>
        <v>0</v>
      </c>
    </row>
  </sheetData>
  <hyperlinks>
    <hyperlink ref="K1" location="'Project Status'!A1" display="'Project Status'!A1" xr:uid="{448DB76D-C7DC-45E7-A0EB-99C1A3F6D546}"/>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31061-6BCD-4F92-B385-ABFB80998DC5}">
  <sheetPr>
    <tabColor theme="4"/>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4.3046875" style="39" bestFit="1" customWidth="1"/>
    <col min="3" max="3" width="10.69140625" style="39" bestFit="1" customWidth="1"/>
    <col min="4" max="4" width="34.69140625" style="39" bestFit="1" customWidth="1"/>
    <col min="5" max="5" width="27.15234375" style="39" bestFit="1" customWidth="1"/>
    <col min="6" max="6" width="12.15234375" style="39" bestFit="1" customWidth="1"/>
    <col min="7" max="7" width="11.84375" style="39" bestFit="1" customWidth="1"/>
    <col min="8" max="8" width="16.53515625" style="39" bestFit="1" customWidth="1"/>
    <col min="9" max="9" width="11.76562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21156</v>
      </c>
      <c r="B4" s="46">
        <f>VLOOKUP(A4,'Project Status'!C:D,2,FALSE)</f>
        <v>0</v>
      </c>
      <c r="C4" s="46" t="str">
        <f>VLOOKUP(A4,'Project Status'!C:E,3,FALSE)</f>
        <v>CP_400337</v>
      </c>
      <c r="D4" s="46" t="str">
        <f>VLOOKUP(A4,'Project Status'!C:F,4,FALSE)</f>
        <v>15000 - Engineering: Office of the Dean</v>
      </c>
      <c r="E4" s="46" t="str">
        <f>VLOOKUP(A4,'Project Status'!C:I,7,FALSE)</f>
        <v>Olin Hall 2nd Floor Chiller</v>
      </c>
      <c r="F4" s="46" t="str">
        <f>VLOOKUP(A4,'Project Status'!C:K,9,FALSE)</f>
        <v>Construction</v>
      </c>
      <c r="G4" s="46" t="str">
        <f>VLOOKUP(A4,'Project Status'!C:L,10,FALSE)</f>
        <v>Nickolaus Corniea</v>
      </c>
      <c r="H4" s="47">
        <f>VLOOKUP(A4,'Project Status'!C:N,12,FALSE)</f>
        <v>386000</v>
      </c>
      <c r="I4" s="48">
        <f>VLOOKUP(A4,'Project Status'!C:Q,15,FALSE)</f>
        <v>10800</v>
      </c>
    </row>
    <row r="8" spans="1:11" x14ac:dyDescent="0.4">
      <c r="E8" s="52" t="s">
        <v>123</v>
      </c>
    </row>
    <row r="9" spans="1:11" x14ac:dyDescent="0.4">
      <c r="E9" s="70" t="s">
        <v>617</v>
      </c>
      <c r="F9" s="39" t="s">
        <v>138</v>
      </c>
      <c r="H9" s="49">
        <v>386000</v>
      </c>
    </row>
    <row r="10" spans="1:11" x14ac:dyDescent="0.4">
      <c r="E10" s="53"/>
      <c r="H10" s="49"/>
    </row>
    <row r="12" spans="1:11" x14ac:dyDescent="0.4">
      <c r="F12" s="56"/>
      <c r="G12" s="56"/>
      <c r="H12" s="69"/>
    </row>
    <row r="18" spans="5:8" x14ac:dyDescent="0.4">
      <c r="E18" s="64" t="s">
        <v>250</v>
      </c>
      <c r="F18" s="65"/>
      <c r="G18" s="64"/>
      <c r="H18" s="66">
        <f>SUM(H9:H17)</f>
        <v>386000</v>
      </c>
    </row>
    <row r="20" spans="5:8" x14ac:dyDescent="0.4">
      <c r="E20" s="67" t="s">
        <v>135</v>
      </c>
      <c r="F20" s="67"/>
      <c r="G20" s="67"/>
      <c r="H20" s="68">
        <f>H4-H18</f>
        <v>0</v>
      </c>
    </row>
  </sheetData>
  <hyperlinks>
    <hyperlink ref="K1" location="'Project Status'!A1" display="'Project Status'!A1" xr:uid="{09C180E1-48A7-4094-A368-4EC5CAFFFBE1}"/>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FD1CC-D933-458B-A46B-560D08F2D67E}">
  <sheetPr>
    <tabColor theme="4"/>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4.3046875" style="39" bestFit="1" customWidth="1"/>
    <col min="3" max="3" width="6.84375" style="39" bestFit="1" customWidth="1"/>
    <col min="4" max="4" width="34.69140625" style="39" bestFit="1" customWidth="1"/>
    <col min="5" max="5" width="34.3046875" style="39" bestFit="1" customWidth="1"/>
    <col min="6" max="6" width="22.69140625" style="39" bestFit="1" customWidth="1"/>
    <col min="7" max="7" width="11.3046875" style="39" bestFit="1" customWidth="1"/>
    <col min="8" max="8" width="16.53515625" style="39" bestFit="1" customWidth="1"/>
    <col min="9" max="9" width="10.6914062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21173</v>
      </c>
      <c r="B4" s="46">
        <f>VLOOKUP(A4,'Project Status'!C:D,2,FALSE)</f>
        <v>0</v>
      </c>
      <c r="C4" s="46" t="str">
        <f>VLOOKUP(A4,'Project Status'!C:E,3,FALSE)</f>
        <v>CP_400343</v>
      </c>
      <c r="D4" s="46" t="str">
        <f>VLOOKUP(A4,'Project Status'!C:F,4,FALSE)</f>
        <v>22000 - College of Connected Computing: Office of the Dean</v>
      </c>
      <c r="E4" s="46" t="str">
        <f>VLOOKUP(A4,'Project Status'!C:I,7,FALSE)</f>
        <v>17th &amp; Horton Elevators Modernization</v>
      </c>
      <c r="F4" s="46" t="str">
        <f>VLOOKUP(A4,'Project Status'!C:K,9,FALSE)</f>
        <v>Programming or Planning</v>
      </c>
      <c r="G4" s="46" t="str">
        <f>VLOOKUP(A4,'Project Status'!C:L,10,FALSE)</f>
        <v>Ben Bedock</v>
      </c>
      <c r="H4" s="47">
        <f>VLOOKUP(A4,'Project Status'!C:N,12,FALSE)</f>
        <v>25550</v>
      </c>
      <c r="I4" s="48">
        <f>VLOOKUP(A4,'Project Status'!C:Q,15,FALSE)</f>
        <v>0</v>
      </c>
    </row>
    <row r="8" spans="1:11" x14ac:dyDescent="0.4">
      <c r="E8" s="52" t="s">
        <v>123</v>
      </c>
    </row>
    <row r="9" spans="1:11" x14ac:dyDescent="0.4">
      <c r="E9" s="70" t="s">
        <v>617</v>
      </c>
      <c r="F9" s="39" t="s">
        <v>138</v>
      </c>
      <c r="H9" s="49">
        <v>25550</v>
      </c>
    </row>
    <row r="10" spans="1:11" x14ac:dyDescent="0.4">
      <c r="E10" s="53"/>
      <c r="H10" s="49"/>
    </row>
    <row r="12" spans="1:11" x14ac:dyDescent="0.4">
      <c r="F12" s="56"/>
      <c r="G12" s="56"/>
      <c r="H12" s="69"/>
    </row>
    <row r="18" spans="5:8" x14ac:dyDescent="0.4">
      <c r="E18" s="64" t="s">
        <v>250</v>
      </c>
      <c r="F18" s="65"/>
      <c r="G18" s="64"/>
      <c r="H18" s="66">
        <f>SUM(H9:H17)</f>
        <v>25550</v>
      </c>
    </row>
    <row r="20" spans="5:8" x14ac:dyDescent="0.4">
      <c r="E20" s="67" t="s">
        <v>135</v>
      </c>
      <c r="F20" s="67"/>
      <c r="G20" s="67"/>
      <c r="H20" s="68">
        <f>H4-H18</f>
        <v>0</v>
      </c>
    </row>
  </sheetData>
  <hyperlinks>
    <hyperlink ref="K1" location="'Project Status'!A1" display="'Project Status'!A1" xr:uid="{7A576712-0F49-4269-8B1F-3B3C018888D9}"/>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F67D4-F956-4B62-8C9D-A4903FEC154C}">
  <sheetPr>
    <tabColor theme="4"/>
  </sheetPr>
  <dimension ref="A1:K20"/>
  <sheetViews>
    <sheetView zoomScale="90" zoomScaleNormal="90" workbookViewId="0">
      <selection activeCell="H20" sqref="H20"/>
    </sheetView>
  </sheetViews>
  <sheetFormatPr defaultColWidth="9.3046875" defaultRowHeight="14.6" x14ac:dyDescent="0.4"/>
  <cols>
    <col min="1" max="1" width="8.3828125" style="39" bestFit="1" customWidth="1"/>
    <col min="2" max="2" width="4.3046875" style="39" bestFit="1" customWidth="1"/>
    <col min="3" max="3" width="6.84375" style="39" bestFit="1" customWidth="1"/>
    <col min="4" max="4" width="26.3828125" style="39" bestFit="1" customWidth="1"/>
    <col min="5" max="5" width="40.84375" style="39" bestFit="1" customWidth="1"/>
    <col min="6" max="7" width="12.15234375" style="39" bestFit="1" customWidth="1"/>
    <col min="8" max="8" width="16.53515625" style="39" bestFit="1" customWidth="1"/>
    <col min="9" max="9" width="10.69140625" style="39" bestFit="1" customWidth="1"/>
    <col min="10" max="10" width="9.3046875" style="39"/>
    <col min="11" max="11" width="16.3046875" style="39" bestFit="1" customWidth="1"/>
    <col min="12" max="16384" width="9.3046875" style="39"/>
  </cols>
  <sheetData>
    <row r="1" spans="1:11" x14ac:dyDescent="0.4">
      <c r="K1" s="40" t="s">
        <v>254</v>
      </c>
    </row>
    <row r="3" spans="1:11" x14ac:dyDescent="0.4">
      <c r="A3" s="41" t="s">
        <v>124</v>
      </c>
      <c r="B3" s="42" t="s">
        <v>125</v>
      </c>
      <c r="C3" s="41" t="s">
        <v>126</v>
      </c>
      <c r="D3" s="43" t="s">
        <v>86</v>
      </c>
      <c r="E3" s="43" t="s">
        <v>87</v>
      </c>
      <c r="F3" s="41" t="s">
        <v>127</v>
      </c>
      <c r="G3" s="41" t="s">
        <v>128</v>
      </c>
      <c r="H3" s="44" t="s">
        <v>129</v>
      </c>
      <c r="I3" s="45" t="s">
        <v>284</v>
      </c>
    </row>
    <row r="4" spans="1:11" x14ac:dyDescent="0.4">
      <c r="A4" s="46">
        <v>21178</v>
      </c>
      <c r="B4" s="46">
        <f>VLOOKUP(A4,'Project Status'!C:D,2,FALSE)</f>
        <v>0</v>
      </c>
      <c r="C4" s="46">
        <f>VLOOKUP(A4,'Project Status'!C:E,3,FALSE)</f>
        <v>0</v>
      </c>
      <c r="D4" s="46" t="str">
        <f>VLOOKUP(A4,'Project Status'!C:F,4,FALSE)</f>
        <v>17100 - Law: Business Affairs</v>
      </c>
      <c r="E4" s="46" t="str">
        <f>VLOOKUP(A4,'Project Status'!C:I,7,FALSE)</f>
        <v>Law School - Air Compressor Replacement #6</v>
      </c>
      <c r="F4" s="46" t="str">
        <f>VLOOKUP(A4,'Project Status'!C:K,9,FALSE)</f>
        <v>Construction</v>
      </c>
      <c r="G4" s="46" t="str">
        <f>VLOOKUP(A4,'Project Status'!C:L,10,FALSE)</f>
        <v>Kylie Mignoli</v>
      </c>
      <c r="H4" s="47">
        <f>VLOOKUP(A4,'Project Status'!C:N,12,FALSE)</f>
        <v>75000</v>
      </c>
      <c r="I4" s="48">
        <f>VLOOKUP(A4,'Project Status'!C:Q,15,FALSE)</f>
        <v>2500</v>
      </c>
    </row>
    <row r="8" spans="1:11" x14ac:dyDescent="0.4">
      <c r="E8" s="52" t="s">
        <v>123</v>
      </c>
    </row>
    <row r="9" spans="1:11" x14ac:dyDescent="0.4">
      <c r="E9" s="39" t="s">
        <v>617</v>
      </c>
      <c r="F9" s="39" t="s">
        <v>138</v>
      </c>
      <c r="H9" s="49">
        <v>75000</v>
      </c>
    </row>
    <row r="10" spans="1:11" x14ac:dyDescent="0.4">
      <c r="E10" s="53"/>
      <c r="H10" s="49"/>
    </row>
    <row r="12" spans="1:11" x14ac:dyDescent="0.4">
      <c r="F12" s="56"/>
      <c r="G12" s="56"/>
      <c r="H12" s="69"/>
    </row>
    <row r="18" spans="5:8" x14ac:dyDescent="0.4">
      <c r="E18" s="64" t="s">
        <v>250</v>
      </c>
      <c r="F18" s="65"/>
      <c r="G18" s="64"/>
      <c r="H18" s="66">
        <f>SUM(H9:H17)</f>
        <v>75000</v>
      </c>
    </row>
    <row r="20" spans="5:8" x14ac:dyDescent="0.4">
      <c r="E20" s="67" t="s">
        <v>135</v>
      </c>
      <c r="F20" s="67"/>
      <c r="G20" s="67"/>
      <c r="H20" s="68">
        <f>H4-H18</f>
        <v>0</v>
      </c>
    </row>
  </sheetData>
  <hyperlinks>
    <hyperlink ref="K1" location="'Project Status'!A1" display="'Project Status'!A1" xr:uid="{A71D5CBD-ED04-475A-BF2A-6755302CB18D}"/>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3260D-9E67-4DB7-B53F-73E1FF4B986B}">
  <sheetPr>
    <tabColor theme="0"/>
  </sheetPr>
  <dimension ref="A1:W61"/>
  <sheetViews>
    <sheetView zoomScaleNormal="100" workbookViewId="0"/>
  </sheetViews>
  <sheetFormatPr defaultColWidth="9.3046875" defaultRowHeight="14.6" x14ac:dyDescent="0.4"/>
  <cols>
    <col min="1" max="1" width="5.69140625" style="39" customWidth="1"/>
    <col min="2" max="2" width="23.3046875" style="39" bestFit="1" customWidth="1"/>
    <col min="3" max="3" width="15.84375" style="49" bestFit="1" customWidth="1"/>
    <col min="4" max="4" width="5.69140625" style="39" customWidth="1"/>
    <col min="5" max="5" width="9.3046875" style="39"/>
    <col min="6" max="6" width="14.3046875" style="39" bestFit="1" customWidth="1"/>
    <col min="7" max="7" width="9.3046875" style="39"/>
    <col min="8" max="8" width="5.69140625" style="39" customWidth="1"/>
    <col min="9" max="20" width="9.3046875" style="39"/>
    <col min="21" max="21" width="9.3046875" style="39" bestFit="1" customWidth="1"/>
    <col min="22" max="23" width="10.69140625" style="39" bestFit="1" customWidth="1"/>
    <col min="24" max="16384" width="9.3046875" style="39"/>
  </cols>
  <sheetData>
    <row r="1" spans="1:10" x14ac:dyDescent="0.4">
      <c r="A1" s="40" t="s">
        <v>254</v>
      </c>
    </row>
    <row r="2" spans="1:10" x14ac:dyDescent="0.4">
      <c r="B2" s="77" t="s">
        <v>139</v>
      </c>
    </row>
    <row r="3" spans="1:10" x14ac:dyDescent="0.4">
      <c r="B3" s="39" t="s">
        <v>141</v>
      </c>
      <c r="E3" s="77" t="s">
        <v>298</v>
      </c>
    </row>
    <row r="4" spans="1:10" x14ac:dyDescent="0.4">
      <c r="B4" s="78"/>
      <c r="C4" s="79">
        <f>ROUNDUP(Contributions!O15,0)</f>
        <v>13263820</v>
      </c>
      <c r="E4" s="53" t="s">
        <v>137</v>
      </c>
      <c r="F4" s="92">
        <f>SUMIF('10146'!$E:$E,E4,'10146'!$H:$H)+SUMIF('21051'!$E:$E,E4,'21051'!$H:$H)+SUMIF('20431'!$E:$E,E4,'20431'!$H:$H)+SUMIF('20478'!$E:$E,E4,'20478'!$H:$H)+SUMIF('20489'!$E:$E,E4,'20489'!$H:$H)+SUMIF('20577'!$E:$E,E4,'20577'!$H:$H)+SUMIF('20667'!$E:$E,E4,'20667'!$H:$H)+SUMIF('20668'!$E:$E,E4,'20668'!$H:$H)+SUMIF('20698'!$E:$E,E4,'20698'!$H:$H)+SUMIF('20701'!$E:$E,E4,'20701'!$H:$H)+SUMIF('20723'!$E:$E,E4,'20723'!$H:$H)+SUMIF('20724'!$E:$E,E4,'20724'!$H:$H)+SUMIF('20767'!$E:$E,E4,'20767'!$H:$H)+SUMIF('20772'!$E:$E,E4,'20772'!$H:$H)+SUMIF('20811'!$E:$E,E4,'20811'!$H:$H)+SUMIF('20812'!$E:$E,E4,'20812'!$H:$H)+SUMIF('20857'!$E:$E,E4,'20857'!$H:$H)+SUMIF('20884'!$E:$E,E4,'20884'!$H:$H)+SUMIF('20885'!$E:$E,E4,'20885'!$H:$H)+SUMIF('20911'!$E:$E,E4,'20911'!$H:$H)+SUMIF('20912'!$E:$E,E4,'20912'!$H:$H)+SUMIF('20913'!$E:$E,E4,'20913'!$H:$H)+SUMIF('20922'!$E:$E,E4,'20922'!$H:$H)+SUMIF('20924'!$E:$E,E4,'20924'!$H:$H)+SUMIF('20936'!$E:$E,E4,'20936'!$H:$H)+SUMIF('20945'!$E:$E,E4,'20945'!$H:$H)+SUMIF('20958'!$E:$E,E4,'20958'!$H:$H)+SUMIF('20979'!$E:$E,E4,'20979'!$H:$H)+SUMIF('20982'!$E:$E,E4,'20982'!$H:$H)+SUMIF('20984'!$E:$E,E4,'20984'!$H:$H)+SUMIF('21004'!$E:$E,E4,'21004'!$H:$H)+SUMIF('21010'!$E:$E,E4,'21010'!$H:$H)+SUMIF('21094'!$E:$E,E4,'21094'!$H:$H)+SUMIF('21113'!$E:$E,E4,'21113'!$H:$H)+SUMIF('21114'!$E:$E,E4,'21114'!$H:$H)+SUMIF('21127'!$E:$E,E4,'21127'!$H:$H)+SUMIF('21156'!$E:$E,E4,'21156'!$H:$H)+SUMIF('21173'!$E:$E,E4,'21173'!$H:$H)+SUMIF('21178'!$E:$E,E4,'21178'!$H:$H)</f>
        <v>0</v>
      </c>
    </row>
    <row r="5" spans="1:10" x14ac:dyDescent="0.4">
      <c r="B5" s="80" t="s">
        <v>144</v>
      </c>
      <c r="C5" s="81">
        <f>SUM(C1:C4)</f>
        <v>13263820</v>
      </c>
      <c r="J5" s="53"/>
    </row>
    <row r="8" spans="1:10" x14ac:dyDescent="0.4">
      <c r="B8" s="39" t="s">
        <v>142</v>
      </c>
      <c r="F8" s="54"/>
    </row>
    <row r="9" spans="1:10" x14ac:dyDescent="0.4">
      <c r="B9" s="39" t="s">
        <v>581</v>
      </c>
      <c r="C9" s="92">
        <f>SUMIF('10146'!$E:$E,B9,'10146'!$H:$H)+SUMIF('21127'!$E:$E,B9,'21127'!$H:$H)+SUMIF('20431'!$E:$E,B9,'20431'!$H:$H)+SUMIF('20478'!$E:$E,B9,'20478'!$H:$H)+SUMIF('20489'!$E:$E,B9,'20489'!$H:$H)+SUMIF('20577'!$E:$E,B9,'20577'!$H:$H)+SUMIF('20667'!$E:$E,B9,'20667'!$H:$H)+SUMIF('20668'!$E:$E,B9,'20668'!$H:$H)+SUMIF('20698'!$E:$E,B9,'20698'!$H:$H)+SUMIF('20701'!$E:$E,B9,'20701'!$H:$H)+SUMIF('20723'!$E:$E,B9,'20723'!$H:$H)+SUMIF('20724'!$E:$E,B9,'20724'!$H:$H)+SUMIF('20767'!$E:$E,B9,'20767'!$H:$H)+SUMIF('20772'!$E:$E,B9,'20772'!$H:$H)+SUMIF('20811'!$E:$E,B9,'20811'!$H:$H)+SUMIF('20857'!$E:$E,B9,'20857'!$H:$H)+SUMIF('20884'!$E:$E,B9,'20884'!$H:$H)+SUMIF('20885'!$E:$E,B9,'20885'!$H:$H)+SUMIF('20911'!$E:$E,B9,'20911'!$H:$H)+SUMIF('20912'!$E:$E,B9,'20912'!$H:$H)+SUMIF('20936'!$E:$E,B9,'20936'!$H:$H)+SUMIF('20945'!$E:$E,B9,'20945'!$H:$H)+SUMIF('20958'!$E:$E,B9,'20958'!$H:$H)+SUMIF('20982'!$E:$E,B9,'20982'!$H:$H)</f>
        <v>449020</v>
      </c>
      <c r="F9" s="82"/>
    </row>
    <row r="10" spans="1:10" x14ac:dyDescent="0.4">
      <c r="B10" s="39" t="s">
        <v>591</v>
      </c>
      <c r="C10" s="92">
        <f>SUMIF('10146'!$E:$E,B10,'10146'!$H:$H)+SUMIF('20179'!$E:$E,B10,'20179'!$H:$H)+SUMIF('20431'!$E:$E,B10,'20431'!$H:$H)+SUMIF('20478'!$E:$E,B10,'20478'!$H:$H)+SUMIF('20489'!$E:$E,B10,'20489'!$H:$H)+SUMIF('20577'!$E:$E,B10,'20577'!$H:$H)+SUMIF('20667'!$E:$E,B10,'20667'!$H:$H)+SUMIF('20668'!$E:$E,B10,'20668'!$H:$H)+SUMIF('20698'!$E:$E,B10,'20698'!$H:$H)+SUMIF('20701'!$E:$E,B10,'20701'!$H:$H)+SUMIF('20723'!$E:$E,B10,'20723'!$H:$H)+SUMIF('20724'!$E:$E,B10,'20724'!$H:$H)+SUMIF('20767'!$E:$E,B10,'20767'!$H:$H)+SUMIF('20772'!$E:$E,B10,'20772'!$H:$H)+SUMIF('20811'!$E:$E,B10,'20811'!$H:$H)+SUMIF('20812'!$E:$E,B10,'20812'!$H:$H)+SUMIF('20857'!$E:$E,B10,'20857'!$H:$H)+SUMIF('20884'!$E:$E,B10,'20884'!$H:$H)+SUMIF('20885'!$E:$E,B10,'20885'!$H:$H)+SUMIF('20911'!$E:$E,B10,'20911'!$H:$H)+SUMIF('20912'!$E:$E,B10,'20912'!$H:$H)+SUMIF('20913'!$E:$E,B10,'20913'!$H:$H)+SUMIF('20922'!$E:$E,B10,'20922'!$H:$H)+SUMIF('20924'!$E:$E,B10,'20924'!$H:$H)+SUMIF('20925'!$E:$E,B10,'20925'!$H:$H)+SUMIF('20936'!$E:$E,B10,'20936'!$H:$H)+SUMIF('20945'!$E:$E,B10,'20945'!$H:$H)+SUMIF('20958'!$E:$E,B10,'20958'!$H:$H)+SUMIF('20982'!$E:$E,B10,'20982'!$H:$H)+SUMIF('20984'!$E:$E,B10,'20984'!$H:$H)</f>
        <v>3862388.14</v>
      </c>
      <c r="F10" s="82"/>
    </row>
    <row r="11" spans="1:10" x14ac:dyDescent="0.4">
      <c r="B11" s="39" t="s">
        <v>609</v>
      </c>
      <c r="C11" s="92">
        <f>SUMIF('10146'!$E:$E,B11,'10146'!$H:$H)+SUMIF('20179'!$E:$E,B11,'20179'!$H:$H)+SUMIF('20431'!$E:$E,B11,'20431'!$H:$H)+SUMIF('20478'!$E:$E,B11,'20478'!$H:$H)+SUMIF('20489'!$E:$E,B11,'20489'!$H:$H)+SUMIF('20577'!$E:$E,B11,'20577'!$H:$H)+SUMIF('20667'!$E:$E,B11,'20667'!$H:$H)+SUMIF('20668'!$E:$E,B11,'20668'!$H:$H)+SUMIF('20698'!$E:$E,B11,'20698'!$H:$H)+SUMIF('20701'!$E:$E,B11,'20701'!$H:$H)+SUMIF('20723'!$E:$E,B11,'20723'!$H:$H)+SUMIF('20724'!$E:$E,B11,'20724'!$H:$H)+SUMIF('20767'!$E:$E,B11,'20767'!$H:$H)+SUMIF('20772'!$E:$E,B11,'20772'!$H:$H)+SUMIF('20811'!$E:$E,B11,'20811'!$H:$H)+SUMIF('20812'!$E:$E,B11,'20812'!$H:$H)+SUMIF('20857'!$E:$E,B11,'20857'!$H:$H)+SUMIF('20884'!$E:$E,B11,'20884'!$H:$H)+SUMIF('20885'!$E:$E,B11,'20885'!$H:$H)+SUMIF('20911'!$E:$E,B11,'20911'!$H:$H)+SUMIF('20912'!$E:$E,B11,'20912'!$H:$H)+SUMIF('20913'!$E:$E,B11,'20913'!$H:$H)+SUMIF('20922'!$E:$E,B11,'20922'!$H:$H)+SUMIF('20924'!$E:$E,B11,'20924'!$H:$H)+SUMIF('20936'!$E:$E,B11,'20936'!$H:$H)+SUMIF('20945'!$E:$E,B11,'20945'!$H:$H)+SUMIF('20958'!$E:$E,B11,'20958'!$H:$H)+SUMIF('20982'!$E:$E,B11,'20982'!$H:$H)+SUMIF('20984'!$E:$E,B11,'20984'!$H:$H)+SUMIF('21004'!$E:$E,B11,'21004'!$H:$H)</f>
        <v>-357730.83</v>
      </c>
      <c r="F11" s="82"/>
    </row>
    <row r="12" spans="1:10" x14ac:dyDescent="0.4">
      <c r="B12" s="39" t="s">
        <v>617</v>
      </c>
      <c r="C12" s="92">
        <f>SUMIF('10146'!$E:$E,B12,'10146'!$H:$H)+SUMIF('21051'!$E:$E,B12,'21051'!$H:$H)+SUMIF('20431'!$E:$E,B12,'20431'!$H:$H)+SUMIF('20478'!$E:$E,B12,'20478'!$H:$H)+SUMIF('20489'!$E:$E,B12,'20489'!$H:$H)+SUMIF('20577'!$E:$E,B12,'20577'!$H:$H)+SUMIF('20667'!$E:$E,B12,'20667'!$H:$H)+SUMIF('20668'!$E:$E,B12,'20668'!$H:$H)+SUMIF('20698'!$E:$E,B12,'20698'!$H:$H)+SUMIF('20701'!$E:$E,B12,'20701'!$H:$H)+SUMIF('20723'!$E:$E,B12,'20723'!$H:$H)+SUMIF('20724'!$E:$E,B12,'20724'!$H:$H)+SUMIF('20767'!$E:$E,B12,'20767'!$H:$H)+SUMIF('20772'!$E:$E,B12,'20772'!$H:$H)+SUMIF('20811'!$E:$E,B12,'20811'!$H:$H)+SUMIF('20812'!$E:$E,B12,'20812'!$H:$H)+SUMIF('20857'!$E:$E,B12,'20857'!$H:$H)+SUMIF('20884'!$E:$E,B12,'20884'!$H:$H)+SUMIF('20885'!$E:$E,B12,'20885'!$H:$H)+SUMIF('20911'!$E:$E,B12,'20911'!$H:$H)+SUMIF('20912'!$E:$E,B12,'20912'!$H:$H)+SUMIF('20913'!$E:$E,B12,'20913'!$H:$H)+SUMIF('20922'!$E:$E,B12,'20922'!$H:$H)+SUMIF('20924'!$E:$E,B12,'20924'!$H:$H)+SUMIF('20936'!$E:$E,B12,'20936'!$H:$H)+SUMIF('20945'!$E:$E,B12,'20945'!$H:$H)+SUMIF('20958'!$E:$E,B12,'20958'!$H:$H)+SUMIF('20982'!$E:$E,B12,'20982'!$H:$H)+SUMIF('20984'!$E:$E,B12,'20984'!$H:$H)+SUMIF('21004'!$E:$E,B12,'21004'!$H:$H)+SUMIF('21094'!$E:$E,B12,'21094'!$H:$H)+SUMIF('21113'!$E:$E,B12,'21113'!$H:$H)+SUMIF('21114'!$E:$E,B12,'21114'!$H:$H)+SUMIF('21127'!$E:$E,B12,'21127'!$H:$H)+SUMIF('21156'!$E:$E,B12,'21156'!$H:$H)+SUMIF('21173'!$E:$E,B12,'21173'!$H:$H)+SUMIF('21178'!$E:$E,B12,'21178'!$H:$H)</f>
        <v>514050</v>
      </c>
      <c r="F12" s="82"/>
    </row>
    <row r="13" spans="1:10" x14ac:dyDescent="0.4">
      <c r="B13" s="39" t="s">
        <v>659</v>
      </c>
      <c r="C13" s="92">
        <f>SUMIF('10146'!$E:$E,B13,'10146'!$H:$H)+SUMIF('20979'!$E:$E,B13,'20979'!$H:$H)+SUMIF('20431'!$E:$E,B13,'20431'!$H:$H)+SUMIF('20478'!$E:$E,B13,'20478'!$H:$H)+SUMIF('20489'!$E:$E,B13,'20489'!$H:$H)+SUMIF('20577'!$E:$E,B13,'20577'!$H:$H)+SUMIF('20667'!$E:$E,B13,'20667'!$H:$H)+SUMIF('20668'!$E:$E,B13,'20668'!$H:$H)+SUMIF('20698'!$E:$E,B13,'20698'!$H:$H)+SUMIF('20701'!$E:$E,B13,'20701'!$H:$H)+SUMIF('20723'!$E:$E,B13,'20723'!$H:$H)+SUMIF('20724'!$E:$E,B13,'20724'!$H:$H)+SUMIF('20767'!$E:$E,B13,'20767'!$H:$H)+SUMIF('20772'!$E:$E,B13,'20772'!$H:$H)+SUMIF('20811'!$E:$E,B13,'20811'!$H:$H)+SUMIF('20812'!$E:$E,B13,'20812'!$H:$H)+SUMIF('20857'!$E:$E,B13,'20857'!$H:$H)+SUMIF('20884'!$E:$E,B13,'20884'!$H:$H)+SUMIF('20885'!$E:$E,B13,'20885'!$H:$H)+SUMIF('20911'!$E:$E,B13,'20911'!$H:$H)+SUMIF('20912'!$E:$E,B13,'20912'!$H:$H)+SUMIF('20913'!$E:$E,B13,'20913'!$H:$H)+SUMIF('20922'!$E:$E,B13,'20922'!$H:$H)+SUMIF('20924'!$E:$E,B13,'20924'!$H:$H)+SUMIF('20936'!$E:$E,B13,'20936'!$H:$H)+SUMIF('20945'!$E:$E,B13,'20945'!$H:$H)+SUMIF('20958'!$E:$E,B13,'20958'!$H:$H)+SUMIF('20982'!$E:$E,B13,'20982'!$H:$H)+SUMIF('20984'!$E:$E,B13,'20984'!$H:$H)+SUMIF('21004'!$E:$E,B13,'21004'!$H:$H)+SUMIF('20940'!$E:$E,B13,'20940'!$H:$H)</f>
        <v>0</v>
      </c>
      <c r="F13" s="82"/>
    </row>
    <row r="14" spans="1:10" x14ac:dyDescent="0.4">
      <c r="B14" s="39" t="s">
        <v>668</v>
      </c>
      <c r="C14" s="92">
        <f>SUMIF('10146'!$E:$E,B14,'10146'!$H:$H)+SUMIF('21051'!$E:$E,B14,'21051'!$H:$H)+SUMIF('20431'!$E:$E,B14,'20431'!$H:$H)+SUMIF('20478'!$E:$E,B14,'20478'!$H:$H)+SUMIF('20489'!$E:$E,B14,'20489'!$H:$H)+SUMIF('20577'!$E:$E,B14,'20577'!$H:$H)+SUMIF('20667'!$E:$E,B14,'20667'!$H:$H)+SUMIF('20668'!$E:$E,B14,'20668'!$H:$H)+SUMIF('20698'!$E:$E,B14,'20698'!$H:$H)+SUMIF('20701'!$E:$E,B14,'20701'!$H:$H)+SUMIF('20723'!$E:$E,B14,'20723'!$H:$H)+SUMIF('20724'!$E:$E,B14,'20724'!$H:$H)+SUMIF('20767'!$E:$E,B14,'20767'!$H:$H)+SUMIF('20772'!$E:$E,B14,'20772'!$H:$H)+SUMIF('20811'!$E:$E,B14,'20811'!$H:$H)+SUMIF('20812'!$E:$E,B14,'20812'!$H:$H)+SUMIF('20857'!$E:$E,B14,'20857'!$H:$H)+SUMIF('20884'!$E:$E,B14,'20884'!$H:$H)+SUMIF('20885'!$E:$E,B14,'20885'!$H:$H)+SUMIF('20911'!$E:$E,B14,'20911'!$H:$H)+SUMIF('20912'!$E:$E,B14,'20912'!$H:$H)+SUMIF('20913'!$E:$E,B14,'20913'!$H:$H)+SUMIF('20922'!$E:$E,B14,'20922'!$H:$H)+SUMIF('20924'!$E:$E,B14,'20924'!$H:$H)+SUMIF('20936'!$E:$E,B14,'20936'!$H:$H)+SUMIF('20945'!$E:$E,B14,'20945'!$H:$H)+SUMIF('20958'!$E:$E,B14,'20958'!$H:$H)+SUMIF('20979'!$E:$E,B14,'20979'!$H:$H)+SUMIF('20982'!$E:$E,B14,'20982'!$H:$H)+SUMIF('20984'!$E:$E,B14,'20984'!$H:$H)+SUMIF('21004'!$E:$E,B14,'21004'!$H:$H)+SUMIF('21010'!$E:$E,B14,'21010'!$H:$H)+SUMIF('21094'!$E:$E,B14,'21094'!$H:$H)+SUMIF('21113'!$E:$E,B14,'21113'!$H:$H)+SUMIF('21114'!$E:$E,B14,'21114'!$H:$H)+SUMIF('21127'!$E:$E,B14,'21127'!$H:$H)+SUMIF('21156'!$E:$E,B14,'21156'!$H:$H)+SUMIF('21173'!$E:$E,B14,'21173'!$H:$H)+SUMIF('21178'!$E:$E,B14,'21178'!$H:$H)</f>
        <v>-371379.08999999997</v>
      </c>
      <c r="F14" s="82"/>
    </row>
    <row r="15" spans="1:10" x14ac:dyDescent="0.4">
      <c r="B15" s="53"/>
      <c r="C15" s="92">
        <f>SUMIF('10146'!$E:$E,B15,'10146'!$H:$H)+SUMIF('20179'!$E:$E,B15,'20179'!$H:$H)+SUMIF('20431'!$E:$E,B15,'20431'!$H:$H)+SUMIF('20478'!$E:$E,B15,'20478'!$H:$H)+SUMIF('20489'!$E:$E,B15,'20489'!$H:$H)+SUMIF('20577'!$E:$E,B15,'20577'!$H:$H)+SUMIF('20667'!$E:$E,B15,'20667'!$H:$H)+SUMIF('20668'!$E:$E,B15,'20668'!$H:$H)+SUMIF('20698'!$E:$E,B15,'20698'!$H:$H)+SUMIF('20701'!$E:$E,B15,'20701'!$H:$H)+SUMIF('20723'!$E:$E,B15,'20723'!$H:$H)+SUMIF('20724'!$E:$E,B15,'20724'!$H:$H)+SUMIF('20767'!$E:$E,B15,'20767'!$H:$H)+SUMIF('20772'!$E:$E,B15,'20772'!$H:$H)+SUMIF('20811'!$E:$E,B15,'20811'!$H:$H)+SUMIF('20812'!$E:$E,B15,'20812'!$H:$H)+SUMIF('20857'!$E:$E,B15,'20857'!$H:$H)+SUMIF('20884'!$E:$E,B15,'20884'!$H:$H)+SUMIF('20885'!$E:$E,B15,'20885'!$H:$H)+SUMIF('20911'!$E:$E,B15,'20911'!$H:$H)+SUMIF('20912'!$E:$E,B15,'20912'!$H:$H)+SUMIF('20913'!$E:$E,B15,'20913'!$H:$H)+SUMIF('20922'!$E:$E,B15,'20922'!$H:$H)+SUMIF('20924'!$E:$E,B15,'20924'!$H:$H)+SUMIF('20936'!$E:$E,B15,'20936'!$H:$H)+SUMIF('20945'!$E:$E,B15,'20945'!$H:$H)+SUMIF('20958'!$E:$E,B15,'20958'!$H:$H)+SUMIF('20982'!$E:$E,B15,'20982'!$H:$H)+SUMIF('20984'!$E:$E,B15,'20984'!$H:$H)+SUMIF('20940'!$E:$E,B15,'20940'!$H:$H)+SUMIF('20962'!$E:$E,B15,'20962'!$H:$H)+SUMIF('21004'!$E:$E,B15,'21004'!$H:$H)+SUMIF('21010'!$E:$E,B15,'21010'!$H:$H)+SUMIF('21066'!$E:$E,B15,'21066'!$H:$H)+SUMIF('21067'!$E:$E,B15,'21067'!$H:$H)+SUMIF('21068'!$E:$E,B15,'21068'!$H:$H)+SUMIF('21071'!$E:$E,B15,'21071'!$H:$H)+SUMIF('21094'!$E:$E,B15,'21094'!$H:$H)+SUMIF('21108'!$E:$E,B15,'21108'!$H:$H)</f>
        <v>0</v>
      </c>
      <c r="F15" s="82"/>
    </row>
    <row r="16" spans="1:10" x14ac:dyDescent="0.4">
      <c r="B16" s="53"/>
      <c r="C16" s="92">
        <f>SUMIF('10146'!$E:$E,B16,'10146'!$H:$H)+SUMIF('20179'!$E:$E,B16,'20179'!$H:$H)+SUMIF('20431'!$E:$E,B16,'20431'!$H:$H)+SUMIF('20478'!$E:$E,B16,'20478'!$H:$H)+SUMIF('20489'!$E:$E,B16,'20489'!$H:$H)+SUMIF('20577'!$E:$E,B16,'20577'!$H:$H)+SUMIF('20667'!$E:$E,B16,'20667'!$H:$H)+SUMIF('20668'!$E:$E,B16,'20668'!$H:$H)+SUMIF('20698'!$E:$E,B16,'20698'!$H:$H)+SUMIF('20701'!$E:$E,B16,'20701'!$H:$H)+SUMIF('20723'!$E:$E,B16,'20723'!$H:$H)+SUMIF('20724'!$E:$E,B16,'20724'!$H:$H)+SUMIF('20767'!$E:$E,B16,'20767'!$H:$H)+SUMIF('20772'!$E:$E,B16,'20772'!$H:$H)+SUMIF('20811'!$E:$E,B16,'20811'!$H:$H)+SUMIF('20812'!$E:$E,B16,'20812'!$H:$H)+SUMIF('20857'!$E:$E,B16,'20857'!$H:$H)+SUMIF('20884'!$E:$E,B16,'20884'!$H:$H)+SUMIF('20885'!$E:$E,B16,'20885'!$H:$H)+SUMIF('20911'!$E:$E,B16,'20911'!$H:$H)+SUMIF('20912'!$E:$E,B16,'20912'!$H:$H)+SUMIF('20913'!$E:$E,B16,'20913'!$H:$H)+SUMIF('20922'!$E:$E,B16,'20922'!$H:$H)+SUMIF('20924'!$E:$E,B16,'20924'!$H:$H)+SUMIF('20936'!$E:$E,B16,'20936'!$H:$H)+SUMIF('20945'!$E:$E,B16,'20945'!$H:$H)+SUMIF('20958'!$E:$E,B16,'20958'!$H:$H)+SUMIF('20982'!$E:$E,B16,'20982'!$H:$H)+SUMIF('20984'!$E:$E,B16,'20984'!$H:$H)+SUMIF('20940'!$E:$E,B16,'20940'!$H:$H)+SUMIF('20962'!$E:$E,B16,'20962'!$H:$H)+SUMIF('21004'!$E:$E,B16,'21004'!$H:$H)+SUMIF('21010'!$E:$E,B16,'21010'!$H:$H)+SUMIF('21066'!$E:$E,B16,'21066'!$H:$H)+SUMIF('21067'!$E:$E,B16,'21067'!$H:$H)+SUMIF('21068'!$E:$E,B16,'21068'!$H:$H)+SUMIF('21070'!$E:$E,B16,'21070'!$H:$H)+SUMIF('21071'!$E:$E,B16,'21071'!$H:$H)+SUMIF('21094'!$E:$E,B16,'21094'!$H:$H)+SUMIF('21108'!$E:$E,B16,'21108'!$H:$H)</f>
        <v>0</v>
      </c>
      <c r="F16" s="82"/>
    </row>
    <row r="17" spans="1:23" x14ac:dyDescent="0.4">
      <c r="B17" s="53"/>
      <c r="C17" s="92">
        <f>SUMIF('10146'!$E:$E,B17,'10146'!$H:$H)+SUMIF('20179'!$E:$E,B17,'20179'!$H:$H)+SUMIF('20431'!$E:$E,B17,'20431'!$H:$H)+SUMIF('20478'!$E:$E,B17,'20478'!$H:$H)+SUMIF('20489'!$E:$E,B17,'20489'!$H:$H)+SUMIF('20577'!$E:$E,B17,'20577'!$H:$H)+SUMIF('20667'!$E:$E,B17,'20667'!$H:$H)+SUMIF('20668'!$E:$E,B17,'20668'!$H:$H)+SUMIF('20698'!$E:$E,B17,'20698'!$H:$H)+SUMIF('20701'!$E:$E,B17,'20701'!$H:$H)+SUMIF('20723'!$E:$E,B17,'20723'!$H:$H)+SUMIF('20724'!$E:$E,B17,'20724'!$H:$H)+SUMIF('20767'!$E:$E,B17,'20767'!$H:$H)+SUMIF('20772'!$E:$E,B17,'20772'!$H:$H)+SUMIF('20811'!$E:$E,B17,'20811'!$H:$H)+SUMIF('20812'!$E:$E,B17,'20812'!$H:$H)+SUMIF('20857'!$E:$E,B17,'20857'!$H:$H)+SUMIF('20884'!$E:$E,B17,'20884'!$H:$H)+SUMIF('20885'!$E:$E,B17,'20885'!$H:$H)+SUMIF('20911'!$E:$E,B17,'20911'!$H:$H)+SUMIF('20912'!$E:$E,B17,'20912'!$H:$H)+SUMIF('20913'!$E:$E,B17,'20913'!$H:$H)+SUMIF('20922'!$E:$E,B17,'20922'!$H:$H)+SUMIF('20924'!$E:$E,B17,'20924'!$H:$H)+SUMIF('20936'!$E:$E,B17,'20936'!$H:$H)+SUMIF('20945'!$E:$E,B17,'20945'!$H:$H)+SUMIF('20958'!$E:$E,B17,'20958'!$H:$H)+SUMIF('20982'!$E:$E,B17,'20982'!$H:$H)+SUMIF('20984'!$E:$E,B17,'20984'!$H:$H)+SUMIF('20940'!$E:$E,B17,'20940'!$H:$H)+SUMIF('20962'!$E:$E,B17,'20962'!$H:$H)+SUMIF('21004'!$E:$E,B17,'21004'!$H:$H)+SUMIF('21010'!$E:$E,B17,'21010'!$H:$H)+SUMIF('21066'!$E:$E,B17,'21066'!$H:$H)+SUMIF('21067'!$E:$E,B17,'21067'!$H:$H)+SUMIF('21068'!$E:$E,B17,'21068'!$H:$H)+SUMIF('21070'!$E:$E,B17,'21070'!$H:$H)+SUMIF('21071'!$E:$E,B17,'21071'!$H:$H)+SUMIF('21094'!$E:$E,B17,'21094'!$H:$H)+SUMIF('21108'!$E:$E,B17,'21108'!$H:$H)</f>
        <v>0</v>
      </c>
      <c r="F17" s="49"/>
    </row>
    <row r="18" spans="1:23" x14ac:dyDescent="0.4">
      <c r="B18" s="53"/>
      <c r="C18" s="92">
        <f>SUMIF('10146'!$E:$E,B18,'10146'!$H:$H)+SUMIF('20179'!$E:$E,B18,'20179'!$H:$H)+SUMIF('20431'!$E:$E,B18,'20431'!$H:$H)+SUMIF('20478'!$E:$E,B18,'20478'!$H:$H)+SUMIF('20489'!$E:$E,B18,'20489'!$H:$H)+SUMIF('20577'!$E:$E,B18,'20577'!$H:$H)+SUMIF('20667'!$E:$E,B18,'20667'!$H:$H)+SUMIF('20668'!$E:$E,B18,'20668'!$H:$H)+SUMIF('20698'!$E:$E,B18,'20698'!$H:$H)+SUMIF('20701'!$E:$E,B18,'20701'!$H:$H)+SUMIF('20723'!$E:$E,B18,'20723'!$H:$H)+SUMIF('20724'!$E:$E,B18,'20724'!$H:$H)+SUMIF('20767'!$E:$E,B18,'20767'!$H:$H)+SUMIF('20772'!$E:$E,B18,'20772'!$H:$H)+SUMIF('20811'!$E:$E,B18,'20811'!$H:$H)+SUMIF('20812'!$E:$E,B18,'20812'!$H:$H)+SUMIF('20857'!$E:$E,B18,'20857'!$H:$H)+SUMIF('20884'!$E:$E,B18,'20884'!$H:$H)+SUMIF('20885'!$E:$E,B18,'20885'!$H:$H)+SUMIF('20911'!$E:$E,B18,'20911'!$H:$H)+SUMIF('20912'!$E:$E,B18,'20912'!$H:$H)+SUMIF('20913'!$E:$E,B18,'20913'!$H:$H)+SUMIF('20922'!$E:$E,B18,'20922'!$H:$H)+SUMIF('20924'!$E:$E,B18,'20924'!$H:$H)+SUMIF('20925'!$E:$E,B18,'20925'!$H:$H)+SUMIF('20936'!$E:$E,B18,'20936'!$H:$H)+SUMIF('20940'!$E:$E,B18,'20940'!$H:$H)+SUMIF('20945'!$E:$E,B18,'20945'!$H:$H)+SUMIF('20958'!$E:$E,B18,'20958'!$H:$H)+SUMIF('20962'!$E:$E,B18,'20962'!$H:$H)+SUMIF('20982'!$E:$E,B18,'20982'!$H:$H)+SUMIF('20984'!$E:$E,B18,'20984'!$H:$H)+SUMIF('21004'!$E:$E,B18,'21004'!$H:$H)+SUMIF('21010'!$E:$E,B18,'21010'!$H:$H)+SUMIF('21035'!$E:$E,B18,'21035'!$H:$H)+SUMIF('21066'!$E:$E,B18,'21066'!$H:$H)+SUMIF('21067'!$E:$E,B18,'21067'!$H:$H)+SUMIF('21068'!$E:$E,B18,'21068'!$H:$H)+SUMIF('21070'!$E:$E,B18,'21070'!$H:$H)+SUMIF('21071'!$E:$E,B18,'21071'!$H:$H)+SUMIF('21094'!$E:$E,B18,'21094'!$H:$H)+SUMIF('21108'!$E:$E,B18,'21108'!$H:$H)+SUMIF('21114'!$E:$E,B18,'21114'!$H:$H)</f>
        <v>0</v>
      </c>
      <c r="F18" s="49"/>
    </row>
    <row r="19" spans="1:23" x14ac:dyDescent="0.4">
      <c r="B19" s="53"/>
      <c r="C19" s="92">
        <f>SUMIF('10146'!$E:$E,B19,'10146'!$H:$H)+SUMIF('20179'!$E:$E,B19,'20179'!$H:$H)+SUMIF('20431'!$E:$E,B19,'20431'!$H:$H)+SUMIF('20478'!$E:$E,B19,'20478'!$H:$H)+SUMIF('20489'!$E:$E,B19,'20489'!$H:$H)+SUMIF('20577'!$E:$E,B19,'20577'!$H:$H)+SUMIF('20667'!$E:$E,B19,'20667'!$H:$H)+SUMIF('20668'!$E:$E,B19,'20668'!$H:$H)+SUMIF('20698'!$E:$E,B19,'20698'!$H:$H)+SUMIF('20701'!$E:$E,B19,'20701'!$H:$H)+SUMIF('20723'!$E:$E,B19,'20723'!$H:$H)+SUMIF('20724'!$E:$E,B19,'20724'!$H:$H)+SUMIF('20767'!$E:$E,B19,'20767'!$H:$H)+SUMIF('20772'!$E:$E,B19,'20772'!$H:$H)+SUMIF('20811'!$E:$E,B19,'20811'!$H:$H)+SUMIF('20812'!$E:$E,B19,'20812'!$H:$H)+SUMIF('20857'!$E:$E,B19,'20857'!$H:$H)+SUMIF('20884'!$E:$E,B19,'20884'!$H:$H)+SUMIF('20885'!$E:$E,B19,'20885'!$H:$H)+SUMIF('20911'!$E:$E,B19,'20911'!$H:$H)+SUMIF('20912'!$E:$E,B19,'20912'!$H:$H)+SUMIF('20913'!$E:$E,B19,'20913'!$H:$H)+SUMIF('20922'!$E:$E,B19,'20922'!$H:$H)+SUMIF('20924'!$E:$E,B19,'20924'!$H:$H)+SUMIF('20925'!$E:$E,B19,'20925'!$H:$H)+SUMIF('20936'!$E:$E,B19,'20936'!$H:$H)+SUMIF('20940'!$E:$E,B19,'20940'!$H:$H)+SUMIF('20945'!$E:$E,B19,'20945'!$H:$H)+SUMIF('20958'!$E:$E,B19,'20958'!$H:$H)+SUMIF('20962'!$E:$E,B19,'20962'!$H:$H)+SUMIF('20979'!$E:$E,B19,'20979'!$H:$H)+SUMIF('20982'!$E:$E,B19,'20982'!$H:$H)+SUMIF('20984'!$E:$E,B19,'20984'!$H:$H)+SUMIF('21004'!$E:$E,B19,'21004'!$H:$H)+SUMIF('21010'!$E:$E,B19,'21010'!$H:$H)+SUMIF('21035'!$E:$E,B19,'21035'!$H:$H)+SUMIF('21066'!$E:$E,B19,'21066'!$H:$H)+SUMIF('21067'!$E:$E,B19,'21067'!$H:$H)+SUMIF('21068'!$E:$E,B19,'21068'!$H:$H)+SUMIF('21070'!$E:$E,B19,'21070'!$H:$H)+SUMIF('21071'!$E:$E,B19,'21071'!$H:$H)+SUMIF('21094'!$E:$E,B19,'21094'!$H:$H)+SUMIF('21108'!$E:$E,B19,'21108'!$H:$H)+SUMIF('21113'!$E:$E,B19,'21113'!$H:$H)+SUMIF('21114'!$E:$E,B19,'21114'!$H:$H)</f>
        <v>0</v>
      </c>
    </row>
    <row r="20" spans="1:23" x14ac:dyDescent="0.4">
      <c r="B20" s="78"/>
      <c r="C20" s="79"/>
    </row>
    <row r="21" spans="1:23" x14ac:dyDescent="0.4">
      <c r="A21" s="50"/>
      <c r="B21" s="83" t="s">
        <v>143</v>
      </c>
      <c r="C21" s="84">
        <f>SUM(C9:C20)</f>
        <v>4096348.2200000007</v>
      </c>
      <c r="D21" s="50"/>
      <c r="H21" s="50"/>
    </row>
    <row r="23" spans="1:23" x14ac:dyDescent="0.4">
      <c r="B23" s="53" t="s">
        <v>618</v>
      </c>
      <c r="C23" s="49">
        <f>ROUNDUP('JE LOG_FY25'!C26,0)</f>
        <v>2855230</v>
      </c>
    </row>
    <row r="24" spans="1:23" x14ac:dyDescent="0.4">
      <c r="B24" s="53" t="s">
        <v>619</v>
      </c>
      <c r="C24" s="49">
        <f>F4</f>
        <v>0</v>
      </c>
      <c r="U24" s="87" t="s">
        <v>321</v>
      </c>
      <c r="V24" s="87" t="s">
        <v>322</v>
      </c>
    </row>
    <row r="25" spans="1:23" x14ac:dyDescent="0.4">
      <c r="U25" s="88"/>
      <c r="V25" s="88">
        <v>2369000</v>
      </c>
    </row>
    <row r="26" spans="1:23" x14ac:dyDescent="0.4">
      <c r="A26" s="50"/>
      <c r="B26" s="85" t="s">
        <v>135</v>
      </c>
      <c r="C26" s="86">
        <f>C5-C21+C23-C24</f>
        <v>12022701.779999999</v>
      </c>
      <c r="D26" s="50"/>
      <c r="H26" s="50"/>
      <c r="U26" s="88"/>
      <c r="V26" s="88">
        <v>1716000</v>
      </c>
    </row>
    <row r="27" spans="1:23" x14ac:dyDescent="0.4">
      <c r="U27" s="88">
        <v>222611.86</v>
      </c>
      <c r="V27" s="88"/>
    </row>
    <row r="28" spans="1:23" x14ac:dyDescent="0.4">
      <c r="U28" s="89">
        <f>SUM(U25:U27)</f>
        <v>222611.86</v>
      </c>
      <c r="V28" s="89">
        <f>SUM(V25:V27)</f>
        <v>4085000</v>
      </c>
      <c r="W28" s="90">
        <f>SUM(U28:V28)</f>
        <v>4307611.8600000003</v>
      </c>
    </row>
    <row r="29" spans="1:23" x14ac:dyDescent="0.4">
      <c r="V29" s="91">
        <f>V28-U28</f>
        <v>3862388.14</v>
      </c>
    </row>
    <row r="45" spans="21:22" x14ac:dyDescent="0.4">
      <c r="U45" s="87" t="s">
        <v>321</v>
      </c>
      <c r="V45" s="87" t="s">
        <v>322</v>
      </c>
    </row>
    <row r="46" spans="21:22" x14ac:dyDescent="0.4">
      <c r="U46" s="88"/>
      <c r="V46" s="88">
        <v>386000</v>
      </c>
    </row>
    <row r="47" spans="21:22" x14ac:dyDescent="0.4">
      <c r="U47" s="88"/>
      <c r="V47" s="88">
        <v>75000</v>
      </c>
    </row>
    <row r="48" spans="21:22" x14ac:dyDescent="0.4">
      <c r="U48" s="88"/>
      <c r="V48" s="88">
        <v>27500</v>
      </c>
    </row>
    <row r="49" spans="21:23" x14ac:dyDescent="0.4">
      <c r="U49" s="88"/>
      <c r="V49" s="88">
        <v>25550</v>
      </c>
    </row>
    <row r="50" spans="21:23" x14ac:dyDescent="0.4">
      <c r="U50" s="89">
        <f>SUM(U46:U49)</f>
        <v>0</v>
      </c>
      <c r="V50" s="89">
        <f>SUM(V46:V49)</f>
        <v>514050</v>
      </c>
      <c r="W50" s="90">
        <f>V50*2</f>
        <v>1028100</v>
      </c>
    </row>
    <row r="51" spans="21:23" x14ac:dyDescent="0.4">
      <c r="V51" s="91">
        <f>V50-U50</f>
        <v>514050</v>
      </c>
    </row>
    <row r="55" spans="21:23" x14ac:dyDescent="0.4">
      <c r="U55" s="87" t="s">
        <v>321</v>
      </c>
      <c r="V55" s="87" t="s">
        <v>322</v>
      </c>
    </row>
    <row r="56" spans="21:23" x14ac:dyDescent="0.4">
      <c r="U56" s="88"/>
      <c r="V56" s="88">
        <v>51438</v>
      </c>
    </row>
    <row r="57" spans="21:23" x14ac:dyDescent="0.4">
      <c r="U57" s="88">
        <v>51557.14</v>
      </c>
      <c r="V57" s="88"/>
    </row>
    <row r="58" spans="21:23" x14ac:dyDescent="0.4">
      <c r="U58" s="88">
        <v>161709.56</v>
      </c>
      <c r="V58" s="88"/>
    </row>
    <row r="59" spans="21:23" x14ac:dyDescent="0.4">
      <c r="U59" s="88">
        <v>28800</v>
      </c>
    </row>
    <row r="60" spans="21:23" x14ac:dyDescent="0.4">
      <c r="U60" s="89">
        <f>SUM(U57:U59)</f>
        <v>242066.7</v>
      </c>
      <c r="V60" s="89">
        <f>SUM(V56:V59)</f>
        <v>51438</v>
      </c>
      <c r="W60" s="90">
        <f>SUM(U60:V60)</f>
        <v>293504.7</v>
      </c>
    </row>
    <row r="61" spans="21:23" x14ac:dyDescent="0.4">
      <c r="V61" s="91">
        <f>V60-U60</f>
        <v>-190628.7</v>
      </c>
    </row>
  </sheetData>
  <hyperlinks>
    <hyperlink ref="A1" location="'Project Status'!A1" display="'Project Status'!A1" xr:uid="{B0BEBB80-EFB1-453C-8276-6D85D9E78E20}"/>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DEEF1-D88B-4EE5-8B38-BB408A186926}">
  <sheetPr>
    <tabColor theme="3" tint="0.39997558519241921"/>
  </sheetPr>
  <dimension ref="A2:N258"/>
  <sheetViews>
    <sheetView topLeftCell="A110" zoomScaleNormal="100" workbookViewId="0">
      <selection activeCell="J130" sqref="J130"/>
    </sheetView>
  </sheetViews>
  <sheetFormatPr defaultColWidth="9.3046875" defaultRowHeight="14.6" x14ac:dyDescent="0.4"/>
  <cols>
    <col min="1" max="1" width="4.3046875" style="39" customWidth="1"/>
    <col min="2" max="2" width="3.69140625" style="176" bestFit="1" customWidth="1"/>
    <col min="3" max="3" width="7.15234375" style="176" bestFit="1" customWidth="1"/>
    <col min="4" max="4" width="29.3046875" style="176" bestFit="1" customWidth="1"/>
    <col min="5" max="5" width="64.3046875" style="176" bestFit="1" customWidth="1"/>
    <col min="6" max="6" width="20.69140625" style="176" customWidth="1"/>
    <col min="7" max="7" width="14.69140625" style="176" bestFit="1" customWidth="1"/>
    <col min="8" max="8" width="14.15234375" style="176" customWidth="1"/>
    <col min="9" max="10" width="12" style="182" customWidth="1"/>
    <col min="11" max="12" width="14.15234375" style="176" customWidth="1"/>
    <col min="13" max="13" width="11.15234375" style="39" bestFit="1" customWidth="1"/>
    <col min="14" max="14" width="12.15234375" style="39" bestFit="1" customWidth="1"/>
    <col min="15" max="15" width="30.53515625" style="39" bestFit="1" customWidth="1"/>
    <col min="16" max="16384" width="9.3046875" style="39"/>
  </cols>
  <sheetData>
    <row r="2" spans="1:12" x14ac:dyDescent="0.4">
      <c r="A2" s="331" t="s">
        <v>266</v>
      </c>
      <c r="B2" s="175"/>
      <c r="C2" s="175" t="s">
        <v>426</v>
      </c>
      <c r="D2" s="175" t="s">
        <v>113</v>
      </c>
      <c r="E2" s="175" t="s">
        <v>87</v>
      </c>
      <c r="F2" s="175" t="s">
        <v>127</v>
      </c>
      <c r="G2" s="175" t="s">
        <v>128</v>
      </c>
      <c r="H2" s="188" t="s">
        <v>270</v>
      </c>
      <c r="I2" s="189" t="s">
        <v>236</v>
      </c>
      <c r="J2" s="189"/>
      <c r="K2" s="190" t="s">
        <v>267</v>
      </c>
      <c r="L2" s="190" t="s">
        <v>237</v>
      </c>
    </row>
    <row r="3" spans="1:12" x14ac:dyDescent="0.4">
      <c r="A3" s="331"/>
      <c r="B3" s="166">
        <v>1</v>
      </c>
      <c r="C3" s="176">
        <v>10085</v>
      </c>
      <c r="D3" s="176" t="str">
        <f>VLOOKUP(C3,'Project Status'!C:H,6,FALSE)</f>
        <v>ONE MAGNOLIA CIRCLE</v>
      </c>
      <c r="E3" s="176" t="str">
        <f>VLOOKUP(C3,'Project Status'!C:I,7,FALSE)</f>
        <v>One Magnolia Circle - Modify/Upgrade Electrical and Grounding</v>
      </c>
      <c r="F3" s="176" t="str">
        <f>VLOOKUP(C3,'Project Status'!C:K,9,FALSE)</f>
        <v>Finalized</v>
      </c>
      <c r="G3" s="176" t="str">
        <f>VLOOKUP(C3,'Project Status'!C:L,10,FALSE)</f>
        <v>Sean Rewers</v>
      </c>
      <c r="H3" s="332">
        <v>9364499</v>
      </c>
      <c r="I3" s="182">
        <f>VLOOKUP(C3,'Project Status'!C:S,17,FALSE)</f>
        <v>17500</v>
      </c>
      <c r="K3" s="183">
        <f>SUM(I3:J3)</f>
        <v>17500</v>
      </c>
      <c r="L3" s="191"/>
    </row>
    <row r="4" spans="1:12" x14ac:dyDescent="0.4">
      <c r="A4" s="331"/>
      <c r="B4" s="166">
        <f>B3+1</f>
        <v>2</v>
      </c>
      <c r="C4" s="176">
        <v>10098</v>
      </c>
      <c r="D4" s="176" t="str">
        <f>VLOOKUP(C4,'Project Status'!C:H,6,FALSE)</f>
        <v>MRB III BIO/SCI</v>
      </c>
      <c r="E4" s="176" t="str">
        <f>VLOOKUP(C4,'Project Status'!C:I,7,FALSE)</f>
        <v>MRB III - 4th Floor - Replace Controls (Phase 2)</v>
      </c>
      <c r="F4" s="176" t="str">
        <f>VLOOKUP(C4,'Project Status'!C:K,9,FALSE)</f>
        <v>Finalized</v>
      </c>
      <c r="G4" s="176" t="str">
        <f>VLOOKUP(C4,'Project Status'!C:L,10,FALSE)</f>
        <v>Hans Mooy</v>
      </c>
      <c r="H4" s="332"/>
      <c r="I4" s="182">
        <f>VLOOKUP(C4,'Project Status'!C:S,17,FALSE)</f>
        <v>1216485.5</v>
      </c>
      <c r="K4" s="183">
        <f t="shared" ref="K4:K31" si="0">SUM(I4:J4)</f>
        <v>1216485.5</v>
      </c>
      <c r="L4" s="191"/>
    </row>
    <row r="5" spans="1:12" x14ac:dyDescent="0.4">
      <c r="A5" s="331"/>
      <c r="B5" s="166">
        <f t="shared" ref="B5:B31" si="1">B4+1</f>
        <v>3</v>
      </c>
      <c r="C5" s="176">
        <v>10146</v>
      </c>
      <c r="D5" s="176" t="str">
        <f>VLOOKUP(C5,'Project Status'!C:H,6,FALSE)</f>
        <v>GODCHAUX HALL</v>
      </c>
      <c r="E5" s="176" t="str">
        <f>VLOOKUP(C5,'Project Status'!C:I,7,FALSE)</f>
        <v>Godchaux Hall - HVAC Upgrade</v>
      </c>
      <c r="F5" s="176" t="str">
        <f>VLOOKUP(C5,'Project Status'!C:K,9,FALSE)</f>
        <v>Finalized</v>
      </c>
      <c r="G5" s="176" t="str">
        <f>VLOOKUP(C5,'Project Status'!C:L,10,FALSE)</f>
        <v>Sean Rewers</v>
      </c>
      <c r="H5" s="332"/>
      <c r="I5" s="182">
        <f>VLOOKUP(C5,'Project Status'!C:S,17,FALSE)</f>
        <v>4900</v>
      </c>
      <c r="K5" s="183">
        <f t="shared" si="0"/>
        <v>4900</v>
      </c>
      <c r="L5" s="191"/>
    </row>
    <row r="6" spans="1:12" x14ac:dyDescent="0.4">
      <c r="A6" s="331"/>
      <c r="B6" s="166">
        <f t="shared" si="1"/>
        <v>4</v>
      </c>
      <c r="C6" s="176">
        <v>20179</v>
      </c>
      <c r="D6" s="176" t="str">
        <f>VLOOKUP(C6,'Project Status'!C:H,6,FALSE)</f>
        <v>LAW SCHOOL</v>
      </c>
      <c r="E6" s="176" t="str">
        <f>VLOOKUP(C6,'Project Status'!C:I,7,FALSE)</f>
        <v>Law School - Fire Alarm System Replacement</v>
      </c>
      <c r="F6" s="176" t="str">
        <f>VLOOKUP(C6,'Project Status'!C:K,9,FALSE)</f>
        <v>Finalized</v>
      </c>
      <c r="G6" s="176" t="str">
        <f>VLOOKUP(C6,'Project Status'!C:L,10,FALSE)</f>
        <v>Bob Grummon</v>
      </c>
      <c r="H6" s="332"/>
      <c r="I6" s="182">
        <f>VLOOKUP(C6,'Project Status'!C:S,17,FALSE)</f>
        <v>722694.5</v>
      </c>
      <c r="K6" s="183">
        <f t="shared" si="0"/>
        <v>722694.5</v>
      </c>
      <c r="L6" s="191"/>
    </row>
    <row r="7" spans="1:12" x14ac:dyDescent="0.4">
      <c r="A7" s="331"/>
      <c r="B7" s="166">
        <f t="shared" si="1"/>
        <v>5</v>
      </c>
      <c r="C7" s="176">
        <v>20336</v>
      </c>
      <c r="D7" s="176" t="str">
        <f>VLOOKUP(C7,'Project Status'!C:H,6,FALSE)</f>
        <v>BLAIR SCHOOL OF MUSIC</v>
      </c>
      <c r="E7" s="176" t="str">
        <f>VLOOKUP(C7,'Project Status'!C:I,7,FALSE)</f>
        <v>Blair School of Music - Elevator #3 Modernization</v>
      </c>
      <c r="F7" s="176" t="str">
        <f>VLOOKUP(C7,'Project Status'!C:K,9,FALSE)</f>
        <v>Finalized</v>
      </c>
      <c r="G7" s="176" t="str">
        <f>VLOOKUP(C7,'Project Status'!C:L,10,FALSE)</f>
        <v>Ben Bedock</v>
      </c>
      <c r="H7" s="332"/>
      <c r="I7" s="182">
        <f>VLOOKUP(C7,'Project Status'!C:S,17,FALSE)</f>
        <v>327890</v>
      </c>
      <c r="K7" s="183">
        <f t="shared" si="0"/>
        <v>327890</v>
      </c>
      <c r="L7" s="191"/>
    </row>
    <row r="8" spans="1:12" x14ac:dyDescent="0.4">
      <c r="A8" s="331"/>
      <c r="B8" s="166">
        <f t="shared" si="1"/>
        <v>6</v>
      </c>
      <c r="C8" s="176">
        <v>20431</v>
      </c>
      <c r="D8" s="176" t="str">
        <f>VLOOKUP(C8,'Project Status'!C:H,6,FALSE)</f>
        <v>DIVINITY</v>
      </c>
      <c r="E8" s="176" t="str">
        <f>VLOOKUP(C8,'Project Status'!C:I,7,FALSE)</f>
        <v>Divinity Air Handling Unit Replacement, (5/6)- Phase 1</v>
      </c>
      <c r="F8" s="176" t="str">
        <f>VLOOKUP(C8,'Project Status'!C:K,9,FALSE)</f>
        <v>Warranty or Construction Closeout</v>
      </c>
      <c r="G8" s="176" t="str">
        <f>VLOOKUP(C8,'Project Status'!C:L,10,FALSE)</f>
        <v>Hans Mooy</v>
      </c>
      <c r="H8" s="332"/>
      <c r="I8" s="182">
        <f>VLOOKUP(C8,'Project Status'!C:S,17,FALSE)</f>
        <v>69862.5</v>
      </c>
      <c r="K8" s="183">
        <f t="shared" si="0"/>
        <v>69862.5</v>
      </c>
      <c r="L8" s="191"/>
    </row>
    <row r="9" spans="1:12" x14ac:dyDescent="0.4">
      <c r="A9" s="331"/>
      <c r="B9" s="166">
        <f t="shared" si="1"/>
        <v>7</v>
      </c>
      <c r="C9" s="176">
        <v>20478</v>
      </c>
      <c r="D9" s="176" t="str">
        <f>VLOOKUP(C9,'Project Status'!C:H,6,FALSE)</f>
        <v>BRYAN BLDG</v>
      </c>
      <c r="E9" s="176" t="str">
        <f>VLOOKUP(C9,'Project Status'!C:I,7,FALSE)</f>
        <v>Bryan Building - Swing Space Renovation - A&amp;S Planning</v>
      </c>
      <c r="F9" s="176" t="str">
        <f>VLOOKUP(C9,'Project Status'!C:K,9,FALSE)</f>
        <v>Warranty or Construction Closeout</v>
      </c>
      <c r="G9" s="176" t="str">
        <f>VLOOKUP(C9,'Project Status'!C:L,10,FALSE)</f>
        <v>Cathy Bartlett</v>
      </c>
      <c r="H9" s="332"/>
      <c r="I9" s="182">
        <f>VLOOKUP(C9,'Project Status'!C:S,17,FALSE)</f>
        <v>81100</v>
      </c>
      <c r="K9" s="183">
        <f t="shared" si="0"/>
        <v>81100</v>
      </c>
      <c r="L9" s="191"/>
    </row>
    <row r="10" spans="1:12" x14ac:dyDescent="0.4">
      <c r="A10" s="331"/>
      <c r="B10" s="166">
        <f t="shared" si="1"/>
        <v>8</v>
      </c>
      <c r="C10" s="176">
        <v>20489</v>
      </c>
      <c r="D10" s="176" t="str">
        <f>VLOOKUP(C10,'Project Status'!C:H,6,FALSE)</f>
        <v>DIVINITY</v>
      </c>
      <c r="E10" s="176" t="str">
        <f>VLOOKUP(C10,'Project Status'!C:I,7,FALSE)</f>
        <v>Divinity Air Handling Unit Replacement,(1/3) - Phase 2 with Benton - FY26</v>
      </c>
      <c r="F10" s="176" t="str">
        <f>VLOOKUP(C10,'Project Status'!C:K,9,FALSE)</f>
        <v>Construction</v>
      </c>
      <c r="G10" s="176" t="str">
        <f>VLOOKUP(C10,'Project Status'!C:L,10,FALSE)</f>
        <v>Jay Surprenant</v>
      </c>
      <c r="H10" s="332"/>
      <c r="I10" s="182">
        <f>VLOOKUP(C10,'Project Status'!C:S,17,FALSE)</f>
        <v>26500</v>
      </c>
      <c r="K10" s="183">
        <f t="shared" si="0"/>
        <v>26500</v>
      </c>
      <c r="L10" s="191"/>
    </row>
    <row r="11" spans="1:12" x14ac:dyDescent="0.4">
      <c r="A11" s="331"/>
      <c r="B11" s="166">
        <f t="shared" si="1"/>
        <v>9</v>
      </c>
      <c r="C11" s="176">
        <v>20497</v>
      </c>
      <c r="D11" s="176" t="str">
        <f>VLOOKUP(C11,'Project Status'!C:H,6,FALSE)</f>
        <v>JESUP PSYCHOLOGY</v>
      </c>
      <c r="E11" s="176" t="str">
        <f>VLOOKUP(C11,'Project Status'!C:I,7,FALSE)</f>
        <v>Jesup - Roof Replacement</v>
      </c>
      <c r="F11" s="176" t="str">
        <f>VLOOKUP(C11,'Project Status'!C:K,9,FALSE)</f>
        <v>Finalized</v>
      </c>
      <c r="G11" s="176" t="str">
        <f>VLOOKUP(C11,'Project Status'!C:L,10,FALSE)</f>
        <v>Ben Bedock</v>
      </c>
      <c r="H11" s="332"/>
      <c r="I11" s="182">
        <f>VLOOKUP(C11,'Project Status'!C:S,17,FALSE)</f>
        <v>79415.5</v>
      </c>
      <c r="K11" s="183">
        <f t="shared" si="0"/>
        <v>79415.5</v>
      </c>
      <c r="L11" s="191"/>
    </row>
    <row r="12" spans="1:12" x14ac:dyDescent="0.4">
      <c r="A12" s="331"/>
      <c r="B12" s="166">
        <f t="shared" si="1"/>
        <v>10</v>
      </c>
      <c r="C12" s="176">
        <v>20506</v>
      </c>
      <c r="D12" s="176" t="str">
        <f>VLOOKUP(C12,'Project Status'!C:H,6,FALSE)</f>
        <v>WYATT CENTER</v>
      </c>
      <c r="E12" s="176" t="str">
        <f>VLOOKUP(C12,'Project Status'!C:I,7,FALSE)</f>
        <v>Wyatt Center - Window Replacement</v>
      </c>
      <c r="F12" s="176" t="str">
        <f>VLOOKUP(C12,'Project Status'!C:K,9,FALSE)</f>
        <v>Finalized</v>
      </c>
      <c r="G12" s="176" t="str">
        <f>VLOOKUP(C12,'Project Status'!C:L,10,FALSE)</f>
        <v>Ben Bedock</v>
      </c>
      <c r="H12" s="332"/>
      <c r="I12" s="182">
        <f>VLOOKUP(C12,'Project Status'!C:S,17,FALSE)</f>
        <v>344155.26</v>
      </c>
      <c r="K12" s="183">
        <f t="shared" si="0"/>
        <v>344155.26</v>
      </c>
      <c r="L12" s="191"/>
    </row>
    <row r="13" spans="1:12" x14ac:dyDescent="0.4">
      <c r="A13" s="331"/>
      <c r="B13" s="166">
        <f t="shared" si="1"/>
        <v>11</v>
      </c>
      <c r="C13" s="176">
        <v>20562</v>
      </c>
      <c r="D13" s="176" t="str">
        <f>VLOOKUP(C13,'Project Status'!C:H,6,FALSE)</f>
        <v>WYATT CENTER</v>
      </c>
      <c r="E13" s="176" t="str">
        <f>VLOOKUP(C13,'Project Status'!C:I,7,FALSE)</f>
        <v>Wyatt Center - VAV Replacement</v>
      </c>
      <c r="F13" s="176" t="str">
        <f>VLOOKUP(C13,'Project Status'!C:K,9,FALSE)</f>
        <v>Finalized</v>
      </c>
      <c r="G13" s="176" t="str">
        <f>VLOOKUP(C13,'Project Status'!C:L,10,FALSE)</f>
        <v>Sean Rewers</v>
      </c>
      <c r="H13" s="332"/>
      <c r="I13" s="182">
        <f>VLOOKUP(C13,'Project Status'!C:S,17,FALSE)</f>
        <v>405791</v>
      </c>
      <c r="K13" s="183">
        <f t="shared" si="0"/>
        <v>405791</v>
      </c>
      <c r="L13" s="191"/>
    </row>
    <row r="14" spans="1:12" x14ac:dyDescent="0.4">
      <c r="A14" s="331"/>
      <c r="B14" s="166">
        <f t="shared" si="1"/>
        <v>12</v>
      </c>
      <c r="C14" s="176">
        <v>20566</v>
      </c>
      <c r="D14" s="176" t="str">
        <f>VLOOKUP(C14,'Project Status'!C:H,6,FALSE)</f>
        <v>SC CHEMISTRY</v>
      </c>
      <c r="E14" s="176" t="str">
        <f>VLOOKUP(C14,'Project Status'!C:I,7,FALSE)</f>
        <v>SC Chemistry (SC7) - Elevator 1 &amp; 2 Modernization</v>
      </c>
      <c r="F14" s="176" t="str">
        <f>VLOOKUP(C14,'Project Status'!C:K,9,FALSE)</f>
        <v>Finalized</v>
      </c>
      <c r="G14" s="176" t="str">
        <f>VLOOKUP(C14,'Project Status'!C:L,10,FALSE)</f>
        <v>Ben Bedock</v>
      </c>
      <c r="H14" s="332"/>
      <c r="I14" s="182">
        <f>VLOOKUP(C14,'Project Status'!C:S,17,FALSE)</f>
        <v>781870</v>
      </c>
      <c r="K14" s="183">
        <f t="shared" si="0"/>
        <v>781870</v>
      </c>
      <c r="L14" s="191"/>
    </row>
    <row r="15" spans="1:12" x14ac:dyDescent="0.4">
      <c r="A15" s="331"/>
      <c r="B15" s="166">
        <f t="shared" si="1"/>
        <v>13</v>
      </c>
      <c r="C15" s="176">
        <v>20573</v>
      </c>
      <c r="D15" s="176" t="str">
        <f>VLOOKUP(C15,'Project Status'!C:H,6,FALSE)</f>
        <v>WYATT CENTER</v>
      </c>
      <c r="E15" s="176" t="str">
        <f>VLOOKUP(C15,'Project Status'!C:I,7,FALSE)</f>
        <v>Wyatt Center - Roof Replacement</v>
      </c>
      <c r="F15" s="176" t="str">
        <f>VLOOKUP(C15,'Project Status'!C:K,9,FALSE)</f>
        <v>Finalized</v>
      </c>
      <c r="G15" s="176" t="str">
        <f>VLOOKUP(C15,'Project Status'!C:L,10,FALSE)</f>
        <v>Ben Bedock</v>
      </c>
      <c r="H15" s="332"/>
      <c r="I15" s="182">
        <f>VLOOKUP(C15,'Project Status'!C:S,17,FALSE)</f>
        <v>1232681</v>
      </c>
      <c r="K15" s="183">
        <f t="shared" si="0"/>
        <v>1232681</v>
      </c>
      <c r="L15" s="191"/>
    </row>
    <row r="16" spans="1:12" x14ac:dyDescent="0.4">
      <c r="A16" s="331"/>
      <c r="B16" s="166">
        <f t="shared" si="1"/>
        <v>14</v>
      </c>
      <c r="C16" s="176">
        <v>20574</v>
      </c>
      <c r="D16" s="176" t="str">
        <f>VLOOKUP(C16,'Project Status'!C:H,6,FALSE)</f>
        <v>MRB III BIO/SCI</v>
      </c>
      <c r="E16" s="176" t="str">
        <f>VLOOKUP(C16,'Project Status'!C:I,7,FALSE)</f>
        <v>MRB III - Steam Coil Replacement</v>
      </c>
      <c r="F16" s="176" t="str">
        <f>VLOOKUP(C16,'Project Status'!C:K,9,FALSE)</f>
        <v>Finalized</v>
      </c>
      <c r="G16" s="176" t="str">
        <f>VLOOKUP(C16,'Project Status'!C:L,10,FALSE)</f>
        <v>Sean Rewers</v>
      </c>
      <c r="H16" s="332"/>
      <c r="I16" s="182">
        <f>VLOOKUP(C16,'Project Status'!C:S,17,FALSE)</f>
        <v>218202</v>
      </c>
      <c r="K16" s="183">
        <f t="shared" si="0"/>
        <v>218202</v>
      </c>
      <c r="L16" s="191"/>
    </row>
    <row r="17" spans="1:12" x14ac:dyDescent="0.4">
      <c r="A17" s="331"/>
      <c r="B17" s="166">
        <f t="shared" si="1"/>
        <v>15</v>
      </c>
      <c r="C17" s="176">
        <v>20577</v>
      </c>
      <c r="D17" s="176" t="str">
        <f>VLOOKUP(C17,'Project Status'!C:H,6,FALSE)</f>
        <v>BLAIR SCHOOL OF MUSIC</v>
      </c>
      <c r="E17" s="176" t="str">
        <f>VLOOKUP(C17,'Project Status'!C:I,7,FALSE)</f>
        <v>Blair School of Music - AHU - 1 Replacement - Phase 1 - FY25</v>
      </c>
      <c r="F17" s="176" t="str">
        <f>VLOOKUP(C17,'Project Status'!C:K,9,FALSE)</f>
        <v>Construction</v>
      </c>
      <c r="G17" s="176" t="str">
        <f>VLOOKUP(C17,'Project Status'!C:L,10,FALSE)</f>
        <v>Jay Surprenant</v>
      </c>
      <c r="H17" s="332"/>
      <c r="I17" s="182">
        <f>VLOOKUP(C17,'Project Status'!C:S,17,FALSE)</f>
        <v>223000</v>
      </c>
      <c r="K17" s="183">
        <f t="shared" si="0"/>
        <v>223000</v>
      </c>
      <c r="L17" s="191"/>
    </row>
    <row r="18" spans="1:12" x14ac:dyDescent="0.4">
      <c r="A18" s="331"/>
      <c r="B18" s="166">
        <f t="shared" si="1"/>
        <v>16</v>
      </c>
      <c r="C18" s="176">
        <v>20644</v>
      </c>
      <c r="D18" s="176" t="str">
        <f>VLOOKUP(C18,'Project Status'!C:H,6,FALSE)</f>
        <v>PEABODY ADMINISTRATION</v>
      </c>
      <c r="E18" s="176" t="str">
        <f>VLOOKUP(C18,'Project Status'!C:I,7,FALSE)</f>
        <v>Peabody Administration - Envelope Repairs</v>
      </c>
      <c r="F18" s="176" t="str">
        <f>VLOOKUP(C18,'Project Status'!C:K,9,FALSE)</f>
        <v>Finalized</v>
      </c>
      <c r="G18" s="176" t="str">
        <f>VLOOKUP(C18,'Project Status'!C:L,10,FALSE)</f>
        <v>Ben Bedock</v>
      </c>
      <c r="H18" s="332"/>
      <c r="I18" s="182">
        <f>VLOOKUP(C18,'Project Status'!C:S,17,FALSE)</f>
        <v>630554</v>
      </c>
      <c r="K18" s="183">
        <f t="shared" si="0"/>
        <v>630554</v>
      </c>
      <c r="L18" s="191"/>
    </row>
    <row r="19" spans="1:12" x14ac:dyDescent="0.4">
      <c r="A19" s="331"/>
      <c r="B19" s="166">
        <f t="shared" si="1"/>
        <v>17</v>
      </c>
      <c r="C19" s="176">
        <v>20645</v>
      </c>
      <c r="D19" s="176" t="str">
        <f>VLOOKUP(C19,'Project Status'!C:H,6,FALSE)</f>
        <v>BENSON OLD CENTRAL</v>
      </c>
      <c r="E19" s="176" t="str">
        <f>VLOOKUP(C19,'Project Status'!C:I,7,FALSE)</f>
        <v>Benson Old Central - Replace Soffit and Doors</v>
      </c>
      <c r="F19" s="176" t="str">
        <f>VLOOKUP(C19,'Project Status'!C:K,9,FALSE)</f>
        <v>Finalized</v>
      </c>
      <c r="G19" s="176" t="str">
        <f>VLOOKUP(C19,'Project Status'!C:L,10,FALSE)</f>
        <v>Ben Bedock</v>
      </c>
      <c r="H19" s="332"/>
      <c r="I19" s="182">
        <f>VLOOKUP(C19,'Project Status'!C:S,17,FALSE)</f>
        <v>125875</v>
      </c>
      <c r="K19" s="183">
        <f t="shared" si="0"/>
        <v>125875</v>
      </c>
      <c r="L19" s="191"/>
    </row>
    <row r="20" spans="1:12" x14ac:dyDescent="0.4">
      <c r="A20" s="331"/>
      <c r="B20" s="166">
        <f t="shared" si="1"/>
        <v>18</v>
      </c>
      <c r="C20" s="176">
        <v>20667</v>
      </c>
      <c r="D20" s="176" t="str">
        <f>VLOOKUP(C20,'Project Status'!C:H,6,FALSE)</f>
        <v>1025 16TH AVE S</v>
      </c>
      <c r="E20" s="176" t="str">
        <f>VLOOKUP(C20,'Project Status'!C:I,7,FALSE)</f>
        <v>1025 16th Avenue - Mechanical and Electrical Upgrades</v>
      </c>
      <c r="F20" s="176" t="str">
        <f>VLOOKUP(C20,'Project Status'!C:K,9,FALSE)</f>
        <v>Construction</v>
      </c>
      <c r="G20" s="176" t="str">
        <f>VLOOKUP(C20,'Project Status'!C:L,10,FALSE)</f>
        <v>Kylie Mignoli</v>
      </c>
      <c r="H20" s="332"/>
      <c r="I20" s="182">
        <f>VLOOKUP(C20,'Project Status'!C:S,17,FALSE)</f>
        <v>146500</v>
      </c>
      <c r="K20" s="183">
        <f t="shared" si="0"/>
        <v>146500</v>
      </c>
      <c r="L20" s="191"/>
    </row>
    <row r="21" spans="1:12" x14ac:dyDescent="0.4">
      <c r="A21" s="331"/>
      <c r="B21" s="166">
        <f t="shared" si="1"/>
        <v>19</v>
      </c>
      <c r="C21" s="176">
        <v>20668</v>
      </c>
      <c r="D21" s="176" t="str">
        <f>VLOOKUP(C21,'Project Status'!C:H,6,FALSE)</f>
        <v>KECK FREE ELECTRON LASER CTR</v>
      </c>
      <c r="E21" s="176" t="str">
        <f>VLOOKUP(C21,'Project Status'!C:I,7,FALSE)</f>
        <v>Keck FEL - Mechanical Upgrades</v>
      </c>
      <c r="F21" s="176" t="str">
        <f>VLOOKUP(C21,'Project Status'!C:K,9,FALSE)</f>
        <v>Design</v>
      </c>
      <c r="G21" s="176" t="str">
        <f>VLOOKUP(C21,'Project Status'!C:L,10,FALSE)</f>
        <v>Sean Rewers</v>
      </c>
      <c r="H21" s="332"/>
      <c r="I21" s="182">
        <f>VLOOKUP(C21,'Project Status'!C:S,17,FALSE)</f>
        <v>206500</v>
      </c>
      <c r="K21" s="183">
        <f t="shared" si="0"/>
        <v>206500</v>
      </c>
      <c r="L21" s="191"/>
    </row>
    <row r="22" spans="1:12" x14ac:dyDescent="0.4">
      <c r="A22" s="331"/>
      <c r="B22" s="166">
        <f t="shared" si="1"/>
        <v>20</v>
      </c>
      <c r="C22" s="176">
        <v>20698</v>
      </c>
      <c r="D22" s="176" t="str">
        <f>VLOOKUP(C22,'Project Status'!C:H,6,FALSE)</f>
        <v>WILSON HALL</v>
      </c>
      <c r="E22" s="176" t="str">
        <f>VLOOKUP(C22,'Project Status'!C:I,7,FALSE)</f>
        <v>Wilson Hall - Fire Alarm Replacement</v>
      </c>
      <c r="F22" s="176" t="str">
        <f>VLOOKUP(C22,'Project Status'!C:K,9,FALSE)</f>
        <v>Finalized</v>
      </c>
      <c r="G22" s="176" t="str">
        <f>VLOOKUP(C22,'Project Status'!C:L,10,FALSE)</f>
        <v>Sean Rewers</v>
      </c>
      <c r="H22" s="332"/>
      <c r="I22" s="182">
        <f>VLOOKUP(C22,'Project Status'!C:S,17,FALSE)</f>
        <v>29250</v>
      </c>
      <c r="K22" s="183">
        <f t="shared" si="0"/>
        <v>29250</v>
      </c>
      <c r="L22" s="191"/>
    </row>
    <row r="23" spans="1:12" x14ac:dyDescent="0.4">
      <c r="A23" s="331"/>
      <c r="B23" s="166">
        <f t="shared" si="1"/>
        <v>21</v>
      </c>
      <c r="C23" s="176">
        <v>20700</v>
      </c>
      <c r="D23" s="176" t="str">
        <f>VLOOKUP(C23,'Project Status'!C:H,6,FALSE)</f>
        <v>SC CHEMISTRY</v>
      </c>
      <c r="E23" s="176" t="str">
        <f>VLOOKUP(C23,'Project Status'!C:I,7,FALSE)</f>
        <v>SC-7 Chemistry - SG-1 Removal and Connection to Central Plant Steam</v>
      </c>
      <c r="F23" s="176" t="str">
        <f>VLOOKUP(C23,'Project Status'!C:K,9,FALSE)</f>
        <v>Finalized</v>
      </c>
      <c r="G23" s="176" t="str">
        <f>VLOOKUP(C23,'Project Status'!C:L,10,FALSE)</f>
        <v>Sean Rewers</v>
      </c>
      <c r="H23" s="332"/>
      <c r="I23" s="182">
        <f>VLOOKUP(C23,'Project Status'!C:S,17,FALSE)</f>
        <v>79623</v>
      </c>
      <c r="K23" s="183">
        <f t="shared" si="0"/>
        <v>79623</v>
      </c>
      <c r="L23" s="191"/>
    </row>
    <row r="24" spans="1:12" x14ac:dyDescent="0.4">
      <c r="A24" s="331"/>
      <c r="B24" s="166">
        <f t="shared" si="1"/>
        <v>22</v>
      </c>
      <c r="C24" s="176">
        <v>20701</v>
      </c>
      <c r="D24" s="176" t="str">
        <f>VLOOKUP(C24,'Project Status'!C:H,6,FALSE)</f>
        <v>SC SCIENCE &amp; ENGINEERING</v>
      </c>
      <c r="E24" s="176" t="str">
        <f>VLOOKUP(C24,'Project Status'!C:I,7,FALSE)</f>
        <v>SC-5 - Chemical Discharge Replacement</v>
      </c>
      <c r="F24" s="176" t="str">
        <f>VLOOKUP(C24,'Project Status'!C:K,9,FALSE)</f>
        <v>Finalized</v>
      </c>
      <c r="G24" s="176" t="str">
        <f>VLOOKUP(C24,'Project Status'!C:L,10,FALSE)</f>
        <v>Sean Rewers</v>
      </c>
      <c r="H24" s="332"/>
      <c r="I24" s="182">
        <f>VLOOKUP(C24,'Project Status'!C:S,17,FALSE)</f>
        <v>499093</v>
      </c>
      <c r="K24" s="183">
        <f t="shared" si="0"/>
        <v>499093</v>
      </c>
      <c r="L24" s="191"/>
    </row>
    <row r="25" spans="1:12" x14ac:dyDescent="0.4">
      <c r="A25" s="331"/>
      <c r="B25" s="166">
        <f t="shared" si="1"/>
        <v>23</v>
      </c>
      <c r="C25" s="176">
        <v>20702</v>
      </c>
      <c r="D25" s="176" t="str">
        <f>VLOOKUP(C25,'Project Status'!C:H,6,FALSE)</f>
        <v>WYATT CENTER</v>
      </c>
      <c r="E25" s="176" t="str">
        <f>VLOOKUP(C25,'Project Status'!C:I,7,FALSE)</f>
        <v>Wyatt Center - Elevator #2 Modernization</v>
      </c>
      <c r="F25" s="176" t="str">
        <f>VLOOKUP(C25,'Project Status'!C:K,9,FALSE)</f>
        <v>Finalized</v>
      </c>
      <c r="G25" s="176" t="str">
        <f>VLOOKUP(C25,'Project Status'!C:L,10,FALSE)</f>
        <v>Ben Bedock</v>
      </c>
      <c r="H25" s="332"/>
      <c r="I25" s="182">
        <f>VLOOKUP(C25,'Project Status'!C:S,17,FALSE)</f>
        <v>239341</v>
      </c>
      <c r="K25" s="183">
        <f t="shared" si="0"/>
        <v>239341</v>
      </c>
      <c r="L25" s="191"/>
    </row>
    <row r="26" spans="1:12" x14ac:dyDescent="0.4">
      <c r="A26" s="331"/>
      <c r="B26" s="166">
        <f t="shared" si="1"/>
        <v>24</v>
      </c>
      <c r="C26" s="176">
        <v>20718</v>
      </c>
      <c r="D26" s="176" t="str">
        <f>VLOOKUP(C26,'Project Status'!C:H,6,FALSE)</f>
        <v>BUTTRICK HALL</v>
      </c>
      <c r="E26" s="176" t="str">
        <f>VLOOKUP(C26,'Project Status'!C:I,7,FALSE)</f>
        <v>Buttrick Hall - 3rd Floor Inequality Renovations</v>
      </c>
      <c r="F26" s="176" t="str">
        <f>VLOOKUP(C26,'Project Status'!C:K,9,FALSE)</f>
        <v>Finalized</v>
      </c>
      <c r="G26" s="176" t="str">
        <f>VLOOKUP(C26,'Project Status'!C:L,10,FALSE)</f>
        <v>Erin Fry</v>
      </c>
      <c r="H26" s="332"/>
      <c r="I26" s="182">
        <f>VLOOKUP(C26,'Project Status'!C:S,17,FALSE)</f>
        <v>96166</v>
      </c>
      <c r="K26" s="183">
        <f t="shared" si="0"/>
        <v>96166</v>
      </c>
      <c r="L26" s="191"/>
    </row>
    <row r="27" spans="1:12" x14ac:dyDescent="0.4">
      <c r="A27" s="331"/>
      <c r="B27" s="166">
        <f t="shared" si="1"/>
        <v>25</v>
      </c>
      <c r="C27" s="176">
        <v>20723</v>
      </c>
      <c r="D27" s="176" t="str">
        <f>VLOOKUP(C27,'Project Status'!C:H,6,FALSE)</f>
        <v>MRB III BIO/SCI</v>
      </c>
      <c r="E27" s="176" t="str">
        <f>VLOOKUP(C27,'Project Status'!C:I,7,FALSE)</f>
        <v>MRB III - 9th Floor (with 4 ,5 &amp; 8) - Replace Controls (Phase 3)</v>
      </c>
      <c r="F27" s="176" t="str">
        <f>VLOOKUP(C27,'Project Status'!C:K,9,FALSE)</f>
        <v>Construction</v>
      </c>
      <c r="G27" s="176" t="str">
        <f>VLOOKUP(C27,'Project Status'!C:L,10,FALSE)</f>
        <v>Jay Surprenant</v>
      </c>
      <c r="H27" s="332"/>
      <c r="I27" s="182">
        <f>VLOOKUP(C27,'Project Status'!C:S,17,FALSE)</f>
        <v>160500</v>
      </c>
      <c r="K27" s="183">
        <f t="shared" si="0"/>
        <v>160500</v>
      </c>
      <c r="L27" s="191"/>
    </row>
    <row r="28" spans="1:12" x14ac:dyDescent="0.4">
      <c r="A28" s="331"/>
      <c r="B28" s="166">
        <f t="shared" si="1"/>
        <v>26</v>
      </c>
      <c r="C28" s="176">
        <v>20724</v>
      </c>
      <c r="D28" s="176" t="str">
        <f>VLOOKUP(C28,'Project Status'!C:H,6,FALSE)</f>
        <v>BLAIR SCHOOL OF MUSIC</v>
      </c>
      <c r="E28" s="176" t="str">
        <f>VLOOKUP(C28,'Project Status'!C:I,7,FALSE)</f>
        <v>Blair School of Music - Steam Line - FY 23</v>
      </c>
      <c r="F28" s="176" t="str">
        <f>VLOOKUP(C28,'Project Status'!C:K,9,FALSE)</f>
        <v>Financial Closeout</v>
      </c>
      <c r="G28" s="176" t="str">
        <f>VLOOKUP(C28,'Project Status'!C:L,10,FALSE)</f>
        <v>Hans Mooy</v>
      </c>
      <c r="H28" s="332"/>
      <c r="I28" s="182">
        <f>VLOOKUP(C28,'Project Status'!C:S,17,FALSE)</f>
        <v>23400</v>
      </c>
      <c r="K28" s="183">
        <f t="shared" si="0"/>
        <v>23400</v>
      </c>
      <c r="L28" s="191"/>
    </row>
    <row r="29" spans="1:12" x14ac:dyDescent="0.4">
      <c r="A29" s="331"/>
      <c r="B29" s="166">
        <f t="shared" si="1"/>
        <v>27</v>
      </c>
      <c r="C29" s="176">
        <v>20735</v>
      </c>
      <c r="D29" s="176" t="str">
        <f>VLOOKUP(C29,'Project Status'!C:H,6,FALSE)</f>
        <v>OWEN GRAD MGMT</v>
      </c>
      <c r="E29" s="176" t="str">
        <f>VLOOKUP(C29,'Project Status'!C:I,7,FALSE)</f>
        <v>Owen - Roof Replacement (Third Level)</v>
      </c>
      <c r="F29" s="176" t="str">
        <f>VLOOKUP(C29,'Project Status'!C:K,9,FALSE)</f>
        <v>Finalized</v>
      </c>
      <c r="G29" s="176" t="str">
        <f>VLOOKUP(C29,'Project Status'!C:L,10,FALSE)</f>
        <v>Ben Bedock</v>
      </c>
      <c r="H29" s="332"/>
      <c r="I29" s="182">
        <f>VLOOKUP(C29,'Project Status'!C:S,17,FALSE)</f>
        <v>300000</v>
      </c>
      <c r="K29" s="183">
        <f t="shared" si="0"/>
        <v>300000</v>
      </c>
      <c r="L29" s="191"/>
    </row>
    <row r="30" spans="1:12" x14ac:dyDescent="0.4">
      <c r="A30" s="331"/>
      <c r="B30" s="166">
        <f t="shared" si="1"/>
        <v>28</v>
      </c>
      <c r="C30" s="176">
        <v>20771</v>
      </c>
      <c r="D30" s="176" t="str">
        <f>VLOOKUP(C30,'Project Status'!C:H,6,FALSE)</f>
        <v>SC CHEMISTRY</v>
      </c>
      <c r="E30" s="176" t="str">
        <f>VLOOKUP(C30,'Project Status'!C:I,7,FALSE)</f>
        <v>SC4 - Interstitial Space HVAC Modifications</v>
      </c>
      <c r="F30" s="176" t="str">
        <f>VLOOKUP(C30,'Project Status'!C:K,9,FALSE)</f>
        <v>Finalized</v>
      </c>
      <c r="G30" s="176" t="str">
        <f>VLOOKUP(C30,'Project Status'!C:L,10,FALSE)</f>
        <v>Sean Rewers</v>
      </c>
      <c r="H30" s="332"/>
      <c r="I30" s="182">
        <f>VLOOKUP(C30,'Project Status'!C:S,17,FALSE)</f>
        <v>24997</v>
      </c>
      <c r="K30" s="183">
        <f t="shared" si="0"/>
        <v>24997</v>
      </c>
      <c r="L30" s="191"/>
    </row>
    <row r="31" spans="1:12" x14ac:dyDescent="0.4">
      <c r="A31" s="331"/>
      <c r="B31" s="166">
        <f t="shared" si="1"/>
        <v>29</v>
      </c>
      <c r="C31" s="176">
        <v>20792</v>
      </c>
      <c r="D31" s="176" t="str">
        <f>VLOOKUP(C31,'Project Status'!C:H,6,FALSE)</f>
        <v>LAW SCHOOL</v>
      </c>
      <c r="E31" s="176" t="str">
        <f>VLOOKUP(C31,'Project Status'!C:I,7,FALSE)</f>
        <v>Law School - Sections 1, 2, &amp; 3  Roof Replacement</v>
      </c>
      <c r="F31" s="176" t="str">
        <f>VLOOKUP(C31,'Project Status'!C:K,9,FALSE)</f>
        <v>Finalized</v>
      </c>
      <c r="G31" s="176" t="str">
        <f>VLOOKUP(C31,'Project Status'!C:L,10,FALSE)</f>
        <v>Ben Bedock</v>
      </c>
      <c r="H31" s="332"/>
      <c r="I31" s="182">
        <f>VLOOKUP(C31,'Project Status'!C:S,17,FALSE)</f>
        <v>483440</v>
      </c>
      <c r="K31" s="183">
        <f t="shared" si="0"/>
        <v>483440</v>
      </c>
      <c r="L31" s="191"/>
    </row>
    <row r="32" spans="1:12" x14ac:dyDescent="0.4">
      <c r="H32" s="332"/>
      <c r="I32" s="192">
        <f t="shared" ref="I32:J32" si="2">SUM(I3:I31)</f>
        <v>8797286.2599999998</v>
      </c>
      <c r="J32" s="192">
        <f t="shared" si="2"/>
        <v>0</v>
      </c>
      <c r="K32" s="192">
        <f>SUM(K3:K31)</f>
        <v>8797286.2599999998</v>
      </c>
      <c r="L32" s="192">
        <f>H3-K32</f>
        <v>567212.74000000022</v>
      </c>
    </row>
    <row r="33" spans="1:13" x14ac:dyDescent="0.4">
      <c r="I33" s="193" t="b">
        <f>I32='Project Status'!S91</f>
        <v>1</v>
      </c>
    </row>
    <row r="34" spans="1:13" x14ac:dyDescent="0.4">
      <c r="A34" s="333" t="s">
        <v>269</v>
      </c>
      <c r="B34" s="177"/>
      <c r="C34" s="177" t="s">
        <v>426</v>
      </c>
      <c r="D34" s="177" t="s">
        <v>113</v>
      </c>
      <c r="E34" s="177" t="s">
        <v>87</v>
      </c>
      <c r="F34" s="177" t="s">
        <v>127</v>
      </c>
      <c r="G34" s="177" t="s">
        <v>128</v>
      </c>
      <c r="H34" s="194" t="s">
        <v>270</v>
      </c>
      <c r="I34" s="195" t="s">
        <v>236</v>
      </c>
      <c r="J34" s="195"/>
      <c r="K34" s="196" t="s">
        <v>267</v>
      </c>
      <c r="L34" s="196" t="s">
        <v>237</v>
      </c>
    </row>
    <row r="35" spans="1:13" x14ac:dyDescent="0.4">
      <c r="A35" s="333"/>
      <c r="B35" s="166">
        <v>1</v>
      </c>
      <c r="C35" s="176">
        <v>10146</v>
      </c>
      <c r="D35" s="176" t="str">
        <f>VLOOKUP(C35,'Project Status'!C:H,6,FALSE)</f>
        <v>GODCHAUX HALL</v>
      </c>
      <c r="E35" s="178" t="str">
        <f>VLOOKUP(C35,'Project Status'!C:I,7,FALSE)</f>
        <v>Godchaux Hall - HVAC Upgrade</v>
      </c>
      <c r="F35" s="178" t="str">
        <f>VLOOKUP(C35,'Project Status'!C:K,9,FALSE)</f>
        <v>Finalized</v>
      </c>
      <c r="G35" s="178" t="str">
        <f>VLOOKUP(C35,'Project Status'!C:L,10,FALSE)</f>
        <v>Sean Rewers</v>
      </c>
      <c r="H35" s="334">
        <f>Contributions!G15</f>
        <v>11029283.289999999</v>
      </c>
      <c r="I35" s="197">
        <f>VLOOKUP(C35,'Project Status'!C:T,18,FALSE)</f>
        <v>255957</v>
      </c>
      <c r="J35" s="198"/>
      <c r="K35" s="199">
        <f>IF(J35="TBD",J35,SUM(I35:J35))</f>
        <v>255957</v>
      </c>
      <c r="L35" s="200"/>
    </row>
    <row r="36" spans="1:13" x14ac:dyDescent="0.4">
      <c r="A36" s="333"/>
      <c r="B36" s="166">
        <f>B35+1</f>
        <v>2</v>
      </c>
      <c r="C36" s="176">
        <v>20431</v>
      </c>
      <c r="D36" s="176" t="str">
        <f>VLOOKUP(C36,'Project Status'!C:H,6,FALSE)</f>
        <v>DIVINITY</v>
      </c>
      <c r="E36" s="178" t="str">
        <f>VLOOKUP(C36,'Project Status'!C:I,7,FALSE)</f>
        <v>Divinity Air Handling Unit Replacement, (5/6)- Phase 1</v>
      </c>
      <c r="F36" s="178" t="str">
        <f>VLOOKUP(C36,'Project Status'!C:K,9,FALSE)</f>
        <v>Warranty or Construction Closeout</v>
      </c>
      <c r="G36" s="178" t="str">
        <f>VLOOKUP(C36,'Project Status'!C:L,10,FALSE)</f>
        <v>Hans Mooy</v>
      </c>
      <c r="H36" s="334"/>
      <c r="I36" s="197">
        <f>VLOOKUP(C36,'Project Status'!C:T,18,FALSE)</f>
        <v>3660360</v>
      </c>
      <c r="J36" s="198"/>
      <c r="K36" s="199">
        <f t="shared" ref="K36:K56" si="3">IF(J36="TBD",J36,SUM(I36:J36))</f>
        <v>3660360</v>
      </c>
      <c r="L36" s="200"/>
    </row>
    <row r="37" spans="1:13" x14ac:dyDescent="0.4">
      <c r="A37" s="333"/>
      <c r="B37" s="166">
        <f t="shared" ref="B37:B59" si="4">B36+1</f>
        <v>3</v>
      </c>
      <c r="C37" s="176">
        <v>20478</v>
      </c>
      <c r="D37" s="176" t="str">
        <f>VLOOKUP(C37,'Project Status'!C:H,6,FALSE)</f>
        <v>BRYAN BLDG</v>
      </c>
      <c r="E37" s="178" t="str">
        <f>VLOOKUP(C37,'Project Status'!C:I,7,FALSE)</f>
        <v>Bryan Building - Swing Space Renovation - A&amp;S Planning</v>
      </c>
      <c r="F37" s="178" t="str">
        <f>VLOOKUP(C37,'Project Status'!C:K,9,FALSE)</f>
        <v>Warranty or Construction Closeout</v>
      </c>
      <c r="G37" s="178" t="str">
        <f>VLOOKUP(C37,'Project Status'!C:L,10,FALSE)</f>
        <v>Cathy Bartlett</v>
      </c>
      <c r="H37" s="334"/>
      <c r="I37" s="197">
        <f>VLOOKUP(C37,'Project Status'!C:T,18,FALSE)</f>
        <v>1028900</v>
      </c>
      <c r="J37" s="198"/>
      <c r="K37" s="199">
        <f t="shared" si="3"/>
        <v>1028900</v>
      </c>
      <c r="L37" s="200"/>
    </row>
    <row r="38" spans="1:13" x14ac:dyDescent="0.4">
      <c r="A38" s="333"/>
      <c r="B38" s="166">
        <f t="shared" si="4"/>
        <v>4</v>
      </c>
      <c r="C38" s="176">
        <v>20668</v>
      </c>
      <c r="D38" s="176" t="str">
        <f>VLOOKUP(C38,'Project Status'!C:H,6,FALSE)</f>
        <v>KECK FREE ELECTRON LASER CTR</v>
      </c>
      <c r="E38" s="178" t="str">
        <f>VLOOKUP(C38,'Project Status'!C:I,7,FALSE)</f>
        <v>Keck FEL - Mechanical Upgrades</v>
      </c>
      <c r="F38" s="178" t="str">
        <f>VLOOKUP(C38,'Project Status'!C:K,9,FALSE)</f>
        <v>Design</v>
      </c>
      <c r="G38" s="178" t="str">
        <f>VLOOKUP(C38,'Project Status'!C:L,10,FALSE)</f>
        <v>Sean Rewers</v>
      </c>
      <c r="H38" s="334"/>
      <c r="I38" s="197">
        <f>VLOOKUP(C38,'Project Status'!C:T,18,FALSE)</f>
        <v>24933</v>
      </c>
      <c r="J38" s="198"/>
      <c r="K38" s="199">
        <f t="shared" si="3"/>
        <v>24933</v>
      </c>
      <c r="L38" s="200"/>
    </row>
    <row r="39" spans="1:13" x14ac:dyDescent="0.4">
      <c r="A39" s="333"/>
      <c r="B39" s="166">
        <f t="shared" si="4"/>
        <v>5</v>
      </c>
      <c r="C39" s="176">
        <v>20698</v>
      </c>
      <c r="D39" s="176" t="str">
        <f>VLOOKUP(C39,'Project Status'!C:H,6,FALSE)</f>
        <v>WILSON HALL</v>
      </c>
      <c r="E39" s="178" t="str">
        <f>VLOOKUP(C39,'Project Status'!C:I,7,FALSE)</f>
        <v>Wilson Hall - Fire Alarm Replacement</v>
      </c>
      <c r="F39" s="178" t="str">
        <f>VLOOKUP(C39,'Project Status'!C:K,9,FALSE)</f>
        <v>Finalized</v>
      </c>
      <c r="G39" s="178" t="str">
        <f>VLOOKUP(C39,'Project Status'!C:L,10,FALSE)</f>
        <v>Sean Rewers</v>
      </c>
      <c r="H39" s="334"/>
      <c r="I39" s="197">
        <f>VLOOKUP(C39,'Project Status'!C:T,18,FALSE)</f>
        <v>649263</v>
      </c>
      <c r="J39" s="198"/>
      <c r="K39" s="199">
        <f t="shared" si="3"/>
        <v>649263</v>
      </c>
      <c r="L39" s="200"/>
    </row>
    <row r="40" spans="1:13" x14ac:dyDescent="0.4">
      <c r="A40" s="333"/>
      <c r="B40" s="166">
        <f t="shared" si="4"/>
        <v>6</v>
      </c>
      <c r="C40" s="176">
        <v>20700</v>
      </c>
      <c r="D40" s="176" t="str">
        <f>VLOOKUP(C40,'Project Status'!C:H,6,FALSE)</f>
        <v>SC CHEMISTRY</v>
      </c>
      <c r="E40" s="178" t="str">
        <f>VLOOKUP(C40,'Project Status'!C:I,7,FALSE)</f>
        <v>SC-7 Chemistry - SG-1 Removal and Connection to Central Plant Steam</v>
      </c>
      <c r="F40" s="178" t="str">
        <f>VLOOKUP(C40,'Project Status'!C:K,9,FALSE)</f>
        <v>Finalized</v>
      </c>
      <c r="G40" s="178" t="str">
        <f>VLOOKUP(C40,'Project Status'!C:L,10,FALSE)</f>
        <v>Sean Rewers</v>
      </c>
      <c r="H40" s="334"/>
      <c r="I40" s="197">
        <f>VLOOKUP(C40,'Project Status'!C:T,18,FALSE)</f>
        <v>5954</v>
      </c>
      <c r="J40" s="198"/>
      <c r="K40" s="199">
        <f t="shared" si="3"/>
        <v>5954</v>
      </c>
      <c r="L40" s="200"/>
    </row>
    <row r="41" spans="1:13" x14ac:dyDescent="0.4">
      <c r="A41" s="333"/>
      <c r="B41" s="166">
        <f t="shared" si="4"/>
        <v>7</v>
      </c>
      <c r="C41" s="176">
        <v>20724</v>
      </c>
      <c r="D41" s="176" t="str">
        <f>VLOOKUP(C41,'Project Status'!C:H,6,FALSE)</f>
        <v>BLAIR SCHOOL OF MUSIC</v>
      </c>
      <c r="E41" s="178" t="str">
        <f>VLOOKUP(C41,'Project Status'!C:I,7,FALSE)</f>
        <v>Blair School of Music - Steam Line - FY 23</v>
      </c>
      <c r="F41" s="178" t="str">
        <f>VLOOKUP(C41,'Project Status'!C:K,9,FALSE)</f>
        <v>Financial Closeout</v>
      </c>
      <c r="G41" s="178" t="str">
        <f>VLOOKUP(C41,'Project Status'!C:L,10,FALSE)</f>
        <v>Hans Mooy</v>
      </c>
      <c r="H41" s="334"/>
      <c r="I41" s="197">
        <f>VLOOKUP(C41,'Project Status'!C:T,18,FALSE)</f>
        <v>1964100</v>
      </c>
      <c r="J41" s="198"/>
      <c r="K41" s="199">
        <f t="shared" si="3"/>
        <v>1964100</v>
      </c>
      <c r="L41" s="200"/>
      <c r="M41" s="167"/>
    </row>
    <row r="42" spans="1:13" x14ac:dyDescent="0.4">
      <c r="A42" s="333"/>
      <c r="B42" s="166">
        <f t="shared" si="4"/>
        <v>8</v>
      </c>
      <c r="C42" s="176">
        <v>20767</v>
      </c>
      <c r="D42" s="176" t="str">
        <f>VLOOKUP(C42,'Project Status'!C:H,6,FALSE)</f>
        <v>SIX MAGNOLIA CIRCLE</v>
      </c>
      <c r="E42" s="178" t="str">
        <f>VLOOKUP(C42,'Project Status'!C:I,7,FALSE)</f>
        <v>Six Magnolia Circle - Foundation Repairs</v>
      </c>
      <c r="F42" s="178" t="str">
        <f>VLOOKUP(C42,'Project Status'!C:K,9,FALSE)</f>
        <v>Warranty or Construction Closeout</v>
      </c>
      <c r="G42" s="178" t="str">
        <f>VLOOKUP(C42,'Project Status'!C:L,10,FALSE)</f>
        <v>Jay Surprenant</v>
      </c>
      <c r="H42" s="334"/>
      <c r="I42" s="197">
        <f>VLOOKUP(C42,'Project Status'!C:T,18,FALSE)</f>
        <v>148299</v>
      </c>
      <c r="J42" s="198"/>
      <c r="K42" s="199">
        <f t="shared" si="3"/>
        <v>148299</v>
      </c>
      <c r="L42" s="200"/>
    </row>
    <row r="43" spans="1:13" x14ac:dyDescent="0.4">
      <c r="A43" s="333"/>
      <c r="B43" s="166">
        <f t="shared" si="4"/>
        <v>9</v>
      </c>
      <c r="C43" s="176">
        <v>20772</v>
      </c>
      <c r="D43" s="176" t="str">
        <f>VLOOKUP(C43,'Project Status'!C:H,6,FALSE)</f>
        <v>OWEN GRAD MGMT</v>
      </c>
      <c r="E43" s="178" t="str">
        <f>VLOOKUP(C43,'Project Status'!C:I,7,FALSE)</f>
        <v>OGSM Old Mechanical- Slate Roof &amp; Window Replacement</v>
      </c>
      <c r="F43" s="178" t="str">
        <f>VLOOKUP(C43,'Project Status'!C:K,9,FALSE)</f>
        <v>Finalized</v>
      </c>
      <c r="G43" s="178" t="str">
        <f>VLOOKUP(C43,'Project Status'!C:L,10,FALSE)</f>
        <v>Ben Bedock</v>
      </c>
      <c r="H43" s="334"/>
      <c r="I43" s="197">
        <f>VLOOKUP(C43,'Project Status'!C:T,18,FALSE)</f>
        <v>1600000</v>
      </c>
      <c r="J43" s="198"/>
      <c r="K43" s="199">
        <f t="shared" ref="K43" si="5">IF(J43="TBD",J43,SUM(I43:J43))</f>
        <v>1600000</v>
      </c>
      <c r="L43" s="200"/>
    </row>
    <row r="44" spans="1:13" x14ac:dyDescent="0.4">
      <c r="A44" s="333"/>
      <c r="B44" s="166">
        <f t="shared" si="4"/>
        <v>10</v>
      </c>
      <c r="C44" s="176">
        <v>20811</v>
      </c>
      <c r="D44" s="176" t="str">
        <f>VLOOKUP(C44,'Project Status'!C:H,6,FALSE)</f>
        <v>ONE MAGNOLIA CIRCLE</v>
      </c>
      <c r="E44" s="178" t="str">
        <f>VLOOKUP(C44,'Project Status'!C:I,7,FALSE)</f>
        <v>One Magnolia Circle - Retaining Wall Repair</v>
      </c>
      <c r="F44" s="178" t="str">
        <f>VLOOKUP(C44,'Project Status'!C:K,9,FALSE)</f>
        <v>Finalized</v>
      </c>
      <c r="G44" s="178" t="str">
        <f>VLOOKUP(C44,'Project Status'!C:L,10,FALSE)</f>
        <v>Ben Bedock</v>
      </c>
      <c r="H44" s="334"/>
      <c r="I44" s="197">
        <f>VLOOKUP(C44,'Project Status'!C:T,18,FALSE)</f>
        <v>285233.27</v>
      </c>
      <c r="J44" s="198"/>
      <c r="K44" s="199">
        <f t="shared" si="3"/>
        <v>285233.27</v>
      </c>
      <c r="L44" s="200"/>
    </row>
    <row r="45" spans="1:13" x14ac:dyDescent="0.4">
      <c r="A45" s="333"/>
      <c r="B45" s="166">
        <f t="shared" si="4"/>
        <v>11</v>
      </c>
      <c r="C45" s="176">
        <v>20831</v>
      </c>
      <c r="D45" s="176" t="str">
        <f>VLOOKUP(C45,'Project Status'!C:H,6,FALSE)</f>
        <v>SC PHYSICS &amp; ASTRONOMY</v>
      </c>
      <c r="E45" s="178" t="str">
        <f>VLOOKUP(C45,'Project Status'!C:I,7,FALSE)</f>
        <v>SC6 - HVAC Upgrades - Feasibility Study</v>
      </c>
      <c r="F45" s="178" t="str">
        <f>VLOOKUP(C45,'Project Status'!C:K,9,FALSE)</f>
        <v>Finalized</v>
      </c>
      <c r="G45" s="178" t="str">
        <f>VLOOKUP(C45,'Project Status'!C:L,10,FALSE)</f>
        <v>Sean Rewers</v>
      </c>
      <c r="H45" s="334"/>
      <c r="I45" s="197">
        <f>VLOOKUP(C45,'Project Status'!C:T,18,FALSE)</f>
        <v>24000</v>
      </c>
      <c r="J45" s="198"/>
      <c r="K45" s="199">
        <f t="shared" si="3"/>
        <v>24000</v>
      </c>
      <c r="L45" s="200"/>
    </row>
    <row r="46" spans="1:13" x14ac:dyDescent="0.4">
      <c r="A46" s="333"/>
      <c r="B46" s="166">
        <f t="shared" si="4"/>
        <v>12</v>
      </c>
      <c r="C46" s="176">
        <v>20832</v>
      </c>
      <c r="D46" s="176" t="str">
        <f>VLOOKUP(C46,'Project Status'!C:H,6,FALSE)</f>
        <v>WILSON HALL</v>
      </c>
      <c r="E46" s="178" t="str">
        <f>VLOOKUP(C46,'Project Status'!C:I,7,FALSE)</f>
        <v>Wilson Hall - HVAC Replacement</v>
      </c>
      <c r="F46" s="178" t="str">
        <f>VLOOKUP(C46,'Project Status'!C:K,9,FALSE)</f>
        <v>Finalized</v>
      </c>
      <c r="G46" s="178" t="str">
        <f>VLOOKUP(C46,'Project Status'!C:L,10,FALSE)</f>
        <v>Sean Rewers</v>
      </c>
      <c r="H46" s="334"/>
      <c r="I46" s="197">
        <f>VLOOKUP(C46,'Project Status'!C:T,18,FALSE)</f>
        <v>24000</v>
      </c>
      <c r="J46" s="198"/>
      <c r="K46" s="199">
        <f t="shared" si="3"/>
        <v>24000</v>
      </c>
      <c r="L46" s="200"/>
    </row>
    <row r="47" spans="1:13" x14ac:dyDescent="0.4">
      <c r="A47" s="333"/>
      <c r="B47" s="166">
        <f t="shared" si="4"/>
        <v>13</v>
      </c>
      <c r="C47" s="176">
        <v>20833</v>
      </c>
      <c r="D47" s="176" t="str">
        <f>VLOOKUP(C47,'Project Status'!C:H,6,FALSE)</f>
        <v>SC SCIENCE &amp; ENGINEERING</v>
      </c>
      <c r="E47" s="178" t="str">
        <f>VLOOKUP(C47,'Project Status'!C:I,7,FALSE)</f>
        <v>SC5 - HVAC Replacement (Design Services)</v>
      </c>
      <c r="F47" s="178" t="str">
        <f>VLOOKUP(C47,'Project Status'!C:K,9,FALSE)</f>
        <v>Finalized</v>
      </c>
      <c r="G47" s="178" t="str">
        <f>VLOOKUP(C47,'Project Status'!C:L,10,FALSE)</f>
        <v>Sean Rewers</v>
      </c>
      <c r="H47" s="334"/>
      <c r="I47" s="197">
        <f>VLOOKUP(C47,'Project Status'!C:T,18,FALSE)</f>
        <v>24000</v>
      </c>
      <c r="J47" s="198"/>
      <c r="K47" s="199">
        <f t="shared" si="3"/>
        <v>24000</v>
      </c>
      <c r="L47" s="200"/>
    </row>
    <row r="48" spans="1:13" x14ac:dyDescent="0.4">
      <c r="A48" s="333"/>
      <c r="B48" s="166">
        <f t="shared" si="4"/>
        <v>14</v>
      </c>
      <c r="C48" s="176">
        <v>20857</v>
      </c>
      <c r="D48" s="176" t="str">
        <f>VLOOKUP(C48,'Project Status'!C:H,6,FALSE)</f>
        <v>ONE MAGNOLIA CIRCLE</v>
      </c>
      <c r="E48" s="178" t="str">
        <f>VLOOKUP(C48,'Project Status'!C:I,7,FALSE)</f>
        <v>One Magnolia Circle - Elevator Modernization</v>
      </c>
      <c r="F48" s="178" t="str">
        <f>VLOOKUP(C48,'Project Status'!C:K,9,FALSE)</f>
        <v>Construction Closeout</v>
      </c>
      <c r="G48" s="178" t="str">
        <f>VLOOKUP(C48,'Project Status'!C:L,10,FALSE)</f>
        <v>Ben Bedock</v>
      </c>
      <c r="H48" s="334"/>
      <c r="I48" s="197">
        <f>VLOOKUP(C48,'Project Status'!C:T,18,FALSE)</f>
        <v>499184</v>
      </c>
      <c r="J48" s="198"/>
      <c r="K48" s="199">
        <f t="shared" ref="K48" si="6">IF(J48="TBD",J48,SUM(I48:J48))</f>
        <v>499184</v>
      </c>
      <c r="L48" s="200"/>
    </row>
    <row r="49" spans="1:13" x14ac:dyDescent="0.4">
      <c r="A49" s="333"/>
      <c r="B49" s="166">
        <f t="shared" si="4"/>
        <v>15</v>
      </c>
      <c r="C49" s="179">
        <v>20884</v>
      </c>
      <c r="D49" s="176" t="str">
        <f>VLOOKUP(C49,'Project Status'!C:H,6,FALSE)</f>
        <v>LAW SCHOOL</v>
      </c>
      <c r="E49" s="178" t="str">
        <f>VLOOKUP(C49,'Project Status'!C:I,7,FALSE)</f>
        <v>Law School - Exterior Window Painting</v>
      </c>
      <c r="F49" s="178" t="str">
        <f>VLOOKUP(C49,'Project Status'!C:K,9,FALSE)</f>
        <v>Finalized</v>
      </c>
      <c r="G49" s="178" t="str">
        <f>VLOOKUP(C49,'Project Status'!C:L,10,FALSE)</f>
        <v>Ben Bedock</v>
      </c>
      <c r="H49" s="334"/>
      <c r="I49" s="197">
        <f>VLOOKUP(C49,'Project Status'!C:T,18,FALSE)</f>
        <v>675650</v>
      </c>
      <c r="J49" s="198"/>
      <c r="K49" s="199">
        <f t="shared" si="3"/>
        <v>675650</v>
      </c>
      <c r="L49" s="200"/>
    </row>
    <row r="50" spans="1:13" x14ac:dyDescent="0.4">
      <c r="A50" s="333"/>
      <c r="B50" s="166">
        <f t="shared" si="4"/>
        <v>16</v>
      </c>
      <c r="C50" s="176">
        <v>20885</v>
      </c>
      <c r="D50" s="176" t="str">
        <f>VLOOKUP(C50,'Project Status'!C:H,6,FALSE)</f>
        <v>BIOMOLECULAR NMR</v>
      </c>
      <c r="E50" s="178" t="str">
        <f>VLOOKUP(C50,'Project Status'!C:I,7,FALSE)</f>
        <v>NMR - Replace Air Compressors</v>
      </c>
      <c r="F50" s="178" t="str">
        <f>VLOOKUP(C50,'Project Status'!C:K,9,FALSE)</f>
        <v>Financial Closeout</v>
      </c>
      <c r="G50" s="178" t="str">
        <f>VLOOKUP(C50,'Project Status'!C:L,10,FALSE)</f>
        <v>Sean Rewers</v>
      </c>
      <c r="H50" s="334"/>
      <c r="I50" s="197">
        <f>VLOOKUP(C50,'Project Status'!C:T,18,FALSE)</f>
        <v>113053.4</v>
      </c>
      <c r="J50" s="198"/>
      <c r="K50" s="199">
        <f t="shared" si="3"/>
        <v>113053.4</v>
      </c>
      <c r="L50" s="200"/>
    </row>
    <row r="51" spans="1:13" x14ac:dyDescent="0.4">
      <c r="A51" s="333"/>
      <c r="B51" s="166">
        <f t="shared" si="4"/>
        <v>17</v>
      </c>
      <c r="C51" s="176">
        <v>20911</v>
      </c>
      <c r="D51" s="176" t="str">
        <f>VLOOKUP(C51,'Project Status'!C:H,6,FALSE)</f>
        <v>BUTTRICK HALL</v>
      </c>
      <c r="E51" s="178" t="str">
        <f>VLOOKUP(C51,'Project Status'!C:I,7,FALSE)</f>
        <v>Buttrick Hall - Elevator Upgrades</v>
      </c>
      <c r="F51" s="178" t="str">
        <f>VLOOKUP(C51,'Project Status'!C:K,9,FALSE)</f>
        <v>Finalized</v>
      </c>
      <c r="G51" s="178" t="str">
        <f>VLOOKUP(C51,'Project Status'!C:L,10,FALSE)</f>
        <v>Ben Bedock</v>
      </c>
      <c r="H51" s="334"/>
      <c r="I51" s="197">
        <f>VLOOKUP(C51,'Project Status'!C:T,18,FALSE)</f>
        <v>61045</v>
      </c>
      <c r="J51" s="198"/>
      <c r="K51" s="199">
        <f t="shared" si="3"/>
        <v>61045</v>
      </c>
      <c r="L51" s="200"/>
    </row>
    <row r="52" spans="1:13" x14ac:dyDescent="0.4">
      <c r="A52" s="333"/>
      <c r="B52" s="166">
        <f t="shared" si="4"/>
        <v>18</v>
      </c>
      <c r="C52" s="176">
        <v>20912</v>
      </c>
      <c r="D52" s="176" t="str">
        <f>VLOOKUP(C52,'Project Status'!C:H,6,FALSE)</f>
        <v>BENSON OLD CENTRAL</v>
      </c>
      <c r="E52" s="178" t="str">
        <f>VLOOKUP(C52,'Project Status'!C:I,7,FALSE)</f>
        <v>Benson Hall - Elevator Upgrades</v>
      </c>
      <c r="F52" s="178" t="str">
        <f>VLOOKUP(C52,'Project Status'!C:K,9,FALSE)</f>
        <v>Financial Closeout</v>
      </c>
      <c r="G52" s="178" t="str">
        <f>VLOOKUP(C52,'Project Status'!C:L,10,FALSE)</f>
        <v>Ben Bedock</v>
      </c>
      <c r="H52" s="334"/>
      <c r="I52" s="197">
        <f>VLOOKUP(C52,'Project Status'!C:T,18,FALSE)</f>
        <v>59798</v>
      </c>
      <c r="J52" s="198"/>
      <c r="K52" s="199">
        <f t="shared" si="3"/>
        <v>59798</v>
      </c>
      <c r="L52" s="200"/>
    </row>
    <row r="53" spans="1:13" x14ac:dyDescent="0.4">
      <c r="A53" s="333"/>
      <c r="B53" s="166">
        <f t="shared" si="4"/>
        <v>19</v>
      </c>
      <c r="C53" s="176">
        <v>20913</v>
      </c>
      <c r="D53" s="176" t="str">
        <f>VLOOKUP(C53,'Project Status'!C:H,6,FALSE)</f>
        <v>WILSON HALL</v>
      </c>
      <c r="E53" s="178" t="str">
        <f>VLOOKUP(C53,'Project Status'!C:I,7,FALSE)</f>
        <v>Wilson Hall - Elevator Upgrades</v>
      </c>
      <c r="F53" s="178" t="str">
        <f>VLOOKUP(C53,'Project Status'!C:K,9,FALSE)</f>
        <v>Financial Closeout</v>
      </c>
      <c r="G53" s="178" t="str">
        <f>VLOOKUP(C53,'Project Status'!C:L,10,FALSE)</f>
        <v>Ben Bedock</v>
      </c>
      <c r="H53" s="334"/>
      <c r="I53" s="197">
        <f>VLOOKUP(C53,'Project Status'!C:T,18,FALSE)</f>
        <v>96612</v>
      </c>
      <c r="J53" s="198"/>
      <c r="K53" s="199">
        <f t="shared" si="3"/>
        <v>96612</v>
      </c>
      <c r="L53" s="200"/>
    </row>
    <row r="54" spans="1:13" x14ac:dyDescent="0.4">
      <c r="A54" s="333"/>
      <c r="B54" s="166">
        <f t="shared" si="4"/>
        <v>20</v>
      </c>
      <c r="C54" s="176">
        <v>20922</v>
      </c>
      <c r="D54" s="176" t="str">
        <f>VLOOKUP(C54,'Project Status'!C:H,6,FALSE)</f>
        <v>VAUGHN HOME</v>
      </c>
      <c r="E54" s="178" t="str">
        <f>VLOOKUP(C54,'Project Status'!C:I,7,FALSE)</f>
        <v>Vaughn Home - Exterior Improvements</v>
      </c>
      <c r="F54" s="178" t="str">
        <f>VLOOKUP(C54,'Project Status'!C:K,9,FALSE)</f>
        <v>Warranty or Construction Closeout</v>
      </c>
      <c r="G54" s="178" t="str">
        <f>VLOOKUP(C54,'Project Status'!C:L,10,FALSE)</f>
        <v>Jay Surprenant</v>
      </c>
      <c r="H54" s="334"/>
      <c r="I54" s="197">
        <f>VLOOKUP(C54,'Project Status'!C:T,18,FALSE)</f>
        <v>197150</v>
      </c>
      <c r="J54" s="198"/>
      <c r="K54" s="199">
        <f t="shared" ref="K54" si="7">IF(J54="TBD",J54,SUM(I54:J54))</f>
        <v>197150</v>
      </c>
      <c r="L54" s="200"/>
    </row>
    <row r="55" spans="1:13" x14ac:dyDescent="0.4">
      <c r="A55" s="333"/>
      <c r="B55" s="166">
        <f t="shared" si="4"/>
        <v>21</v>
      </c>
      <c r="C55" s="176">
        <v>20924</v>
      </c>
      <c r="D55" s="176" t="str">
        <f>VLOOKUP(C55,'Project Status'!C:H,6,FALSE)</f>
        <v>FRIST HALL</v>
      </c>
      <c r="E55" s="178" t="str">
        <f>VLOOKUP(C55,'Project Status'!C:I,7,FALSE)</f>
        <v>Frist Hall - Stairwell Roof Replacement</v>
      </c>
      <c r="F55" s="178" t="str">
        <f>VLOOKUP(C55,'Project Status'!C:K,9,FALSE)</f>
        <v>Finalized</v>
      </c>
      <c r="G55" s="178" t="str">
        <f>VLOOKUP(C55,'Project Status'!C:L,10,FALSE)</f>
        <v>Ben Bedock</v>
      </c>
      <c r="H55" s="334"/>
      <c r="I55" s="197">
        <f>VLOOKUP(C55,'Project Status'!C:T,18,FALSE)</f>
        <v>30570</v>
      </c>
      <c r="J55" s="198"/>
      <c r="K55" s="199">
        <f t="shared" ref="K55" si="8">IF(J55="TBD",J55,SUM(I55:J55))</f>
        <v>30570</v>
      </c>
      <c r="L55" s="200"/>
    </row>
    <row r="56" spans="1:13" x14ac:dyDescent="0.4">
      <c r="A56" s="333"/>
      <c r="B56" s="166">
        <f t="shared" si="4"/>
        <v>22</v>
      </c>
      <c r="C56" s="176">
        <v>20936</v>
      </c>
      <c r="D56" s="176" t="str">
        <f>VLOOKUP(C56,'Project Status'!C:H,6,FALSE)</f>
        <v>WILSON HALL</v>
      </c>
      <c r="E56" s="178" t="str">
        <f>VLOOKUP(C56,'Project Status'!C:I,7,FALSE)</f>
        <v>Wilson Hall - Lighting Retrofit for 103 and 126</v>
      </c>
      <c r="F56" s="178" t="str">
        <f>VLOOKUP(C56,'Project Status'!C:K,9,FALSE)</f>
        <v>Warranty or Construction Closeout</v>
      </c>
      <c r="G56" s="178" t="str">
        <f>VLOOKUP(C56,'Project Status'!C:L,10,FALSE)</f>
        <v>Jay Surprenant</v>
      </c>
      <c r="H56" s="334"/>
      <c r="I56" s="197">
        <f>VLOOKUP(C56,'Project Status'!C:T,18,FALSE)</f>
        <v>404655.91</v>
      </c>
      <c r="J56" s="198"/>
      <c r="K56" s="199">
        <f t="shared" si="3"/>
        <v>404655.91</v>
      </c>
      <c r="L56" s="200"/>
    </row>
    <row r="57" spans="1:13" x14ac:dyDescent="0.4">
      <c r="A57" s="333"/>
      <c r="B57" s="166">
        <f t="shared" si="4"/>
        <v>23</v>
      </c>
      <c r="C57" s="176">
        <v>20945</v>
      </c>
      <c r="D57" s="176" t="str">
        <f>VLOOKUP(C57,'Project Status'!C:H,6,FALSE)</f>
        <v>SEIGENTHALER CENTER</v>
      </c>
      <c r="E57" s="178" t="str">
        <f>VLOOKUP(C57,'Project Status'!C:I,7,FALSE)</f>
        <v>Seigenthaler Building - HVAC Improvements</v>
      </c>
      <c r="F57" s="178" t="str">
        <f>VLOOKUP(C57,'Project Status'!C:K,9,FALSE)</f>
        <v>Finalized</v>
      </c>
      <c r="G57" s="178" t="str">
        <f>VLOOKUP(C57,'Project Status'!C:L,10,FALSE)</f>
        <v>Sean Rewers</v>
      </c>
      <c r="H57" s="334"/>
      <c r="I57" s="197">
        <f>VLOOKUP(C57,'Project Status'!C:T,18,FALSE)</f>
        <v>99000</v>
      </c>
      <c r="J57" s="198"/>
      <c r="K57" s="199">
        <f t="shared" ref="K57" si="9">IF(J57="TBD",J57,SUM(I57:J57))</f>
        <v>99000</v>
      </c>
      <c r="L57" s="200"/>
    </row>
    <row r="58" spans="1:13" x14ac:dyDescent="0.4">
      <c r="A58" s="333"/>
      <c r="B58" s="166">
        <f t="shared" si="4"/>
        <v>24</v>
      </c>
      <c r="C58" s="176">
        <v>20958</v>
      </c>
      <c r="D58" s="176" t="str">
        <f>VLOOKUP(C58,'Project Status'!C:H,6,FALSE)</f>
        <v>FURMAN HALL</v>
      </c>
      <c r="E58" s="178" t="str">
        <f>VLOOKUP(C58,'Project Status'!C:I,7,FALSE)</f>
        <v>Furman Hall - Elevator Modernization</v>
      </c>
      <c r="F58" s="178" t="str">
        <f>VLOOKUP(C58,'Project Status'!C:K,9,FALSE)</f>
        <v>Construction Closeout</v>
      </c>
      <c r="G58" s="178" t="str">
        <f>VLOOKUP(C58,'Project Status'!C:L,10,FALSE)</f>
        <v>Ben Bedock</v>
      </c>
      <c r="H58" s="334"/>
      <c r="I58" s="197">
        <f>VLOOKUP(C58,'Project Status'!C:T,18,FALSE)</f>
        <v>18175</v>
      </c>
      <c r="J58" s="198"/>
      <c r="K58" s="199">
        <f t="shared" ref="K58" si="10">IF(J58="TBD",J58,SUM(I58:J58))</f>
        <v>18175</v>
      </c>
      <c r="L58" s="200"/>
    </row>
    <row r="59" spans="1:13" x14ac:dyDescent="0.4">
      <c r="A59" s="333"/>
      <c r="B59" s="166">
        <f t="shared" si="4"/>
        <v>25</v>
      </c>
      <c r="C59" s="176">
        <v>20982</v>
      </c>
      <c r="D59" s="176" t="str">
        <f>VLOOKUP(C59,'Project Status'!C:H,6,FALSE)</f>
        <v>LAW SCHOOL</v>
      </c>
      <c r="E59" s="178" t="str">
        <f>VLOOKUP(C59,'Project Status'!C:I,7,FALSE)</f>
        <v>Law School - Elevator 1 Modernization</v>
      </c>
      <c r="F59" s="178" t="str">
        <f>VLOOKUP(C59,'Project Status'!C:K,9,FALSE)</f>
        <v>Construction Closeout</v>
      </c>
      <c r="G59" s="178" t="str">
        <f>VLOOKUP(C59,'Project Status'!C:L,10,FALSE)</f>
        <v>Ben Bedock</v>
      </c>
      <c r="H59" s="334"/>
      <c r="I59" s="197">
        <f>VLOOKUP(C59,'Project Status'!C:T,18,FALSE)</f>
        <v>18175</v>
      </c>
      <c r="J59" s="198"/>
      <c r="K59" s="199">
        <f t="shared" ref="K59" si="11">IF(J59="TBD",J59,SUM(I59:J59))</f>
        <v>18175</v>
      </c>
      <c r="L59" s="200"/>
      <c r="M59" s="167"/>
    </row>
    <row r="60" spans="1:13" x14ac:dyDescent="0.4">
      <c r="A60" s="333"/>
      <c r="H60" s="334"/>
      <c r="I60" s="197"/>
      <c r="K60" s="183"/>
      <c r="L60" s="200"/>
      <c r="M60" s="167"/>
    </row>
    <row r="61" spans="1:13" s="170" customFormat="1" x14ac:dyDescent="0.4">
      <c r="A61" s="333"/>
      <c r="B61" s="166"/>
      <c r="C61" s="166">
        <v>10098</v>
      </c>
      <c r="D61" s="166" t="str">
        <f>VLOOKUP(C61,'Project Status'!C:H,6,FALSE)</f>
        <v>MRB III BIO/SCI</v>
      </c>
      <c r="E61" s="172" t="str">
        <f>VLOOKUP(C61,'Project Status'!C:I,7,FALSE)</f>
        <v>MRB III - 4th Floor - Replace Controls (Phase 2)</v>
      </c>
      <c r="F61" s="172" t="str">
        <f>VLOOKUP(C61,'Project Status'!C:K,9,FALSE)</f>
        <v>Finalized</v>
      </c>
      <c r="G61" s="172" t="str">
        <f>VLOOKUP(C61,'Project Status'!C:L,10,FALSE)</f>
        <v>Hans Mooy</v>
      </c>
      <c r="H61" s="334"/>
      <c r="I61" s="201">
        <f>VLOOKUP(C61,'Project Status'!C:T,18,FALSE)</f>
        <v>-4400.96</v>
      </c>
      <c r="J61" s="202"/>
      <c r="K61" s="203">
        <f t="shared" ref="K61:K73" si="12">IF(J61="TBD",J61,SUM(I61:J61))</f>
        <v>-4400.96</v>
      </c>
      <c r="L61" s="204"/>
      <c r="M61" s="171"/>
    </row>
    <row r="62" spans="1:13" s="170" customFormat="1" x14ac:dyDescent="0.4">
      <c r="A62" s="333"/>
      <c r="B62" s="166"/>
      <c r="C62" s="166">
        <v>20336</v>
      </c>
      <c r="D62" s="166" t="str">
        <f>VLOOKUP(C62,'Project Status'!C:H,6,FALSE)</f>
        <v>BLAIR SCHOOL OF MUSIC</v>
      </c>
      <c r="E62" s="172" t="str">
        <f>VLOOKUP(C62,'Project Status'!C:I,7,FALSE)</f>
        <v>Blair School of Music - Elevator #3 Modernization</v>
      </c>
      <c r="F62" s="172" t="str">
        <f>VLOOKUP(C62,'Project Status'!C:K,9,FALSE)</f>
        <v>Finalized</v>
      </c>
      <c r="G62" s="172" t="str">
        <f>VLOOKUP(C62,'Project Status'!C:L,10,FALSE)</f>
        <v>Ben Bedock</v>
      </c>
      <c r="H62" s="334"/>
      <c r="I62" s="201">
        <f>VLOOKUP(C62,'Project Status'!C:T,18,FALSE)</f>
        <v>-47290</v>
      </c>
      <c r="J62" s="202"/>
      <c r="K62" s="203">
        <f t="shared" si="12"/>
        <v>-47290</v>
      </c>
      <c r="L62" s="204"/>
    </row>
    <row r="63" spans="1:13" s="170" customFormat="1" x14ac:dyDescent="0.4">
      <c r="A63" s="333"/>
      <c r="B63" s="166"/>
      <c r="C63" s="166">
        <v>20497</v>
      </c>
      <c r="D63" s="166" t="str">
        <f>VLOOKUP(C63,'Project Status'!C:H,6,FALSE)</f>
        <v>JESUP PSYCHOLOGY</v>
      </c>
      <c r="E63" s="172" t="str">
        <f>VLOOKUP(C63,'Project Status'!C:I,7,FALSE)</f>
        <v>Jesup - Roof Replacement</v>
      </c>
      <c r="F63" s="172" t="str">
        <f>VLOOKUP(C63,'Project Status'!C:K,9,FALSE)</f>
        <v>Finalized</v>
      </c>
      <c r="G63" s="172" t="str">
        <f>VLOOKUP(C63,'Project Status'!C:L,10,FALSE)</f>
        <v>Ben Bedock</v>
      </c>
      <c r="H63" s="334"/>
      <c r="I63" s="201">
        <f>VLOOKUP(C63,'Project Status'!C:T,18,FALSE)</f>
        <v>-44850</v>
      </c>
      <c r="J63" s="202"/>
      <c r="K63" s="203">
        <f t="shared" si="12"/>
        <v>-44850</v>
      </c>
      <c r="L63" s="204"/>
    </row>
    <row r="64" spans="1:13" s="170" customFormat="1" x14ac:dyDescent="0.4">
      <c r="A64" s="333"/>
      <c r="B64" s="166"/>
      <c r="C64" s="166">
        <v>20506</v>
      </c>
      <c r="D64" s="166" t="str">
        <f>VLOOKUP(C64,'Project Status'!C:H,6,FALSE)</f>
        <v>WYATT CENTER</v>
      </c>
      <c r="E64" s="172" t="str">
        <f>VLOOKUP(C64,'Project Status'!C:I,7,FALSE)</f>
        <v>Wyatt Center - Window Replacement</v>
      </c>
      <c r="F64" s="172" t="str">
        <f>VLOOKUP(C64,'Project Status'!C:K,9,FALSE)</f>
        <v>Finalized</v>
      </c>
      <c r="G64" s="172" t="str">
        <f>VLOOKUP(C64,'Project Status'!C:L,10,FALSE)</f>
        <v>Ben Bedock</v>
      </c>
      <c r="H64" s="334"/>
      <c r="I64" s="201">
        <f>VLOOKUP(C64,'Project Status'!C:T,18,FALSE)</f>
        <v>-36379</v>
      </c>
      <c r="J64" s="202"/>
      <c r="K64" s="203">
        <f t="shared" si="12"/>
        <v>-36379</v>
      </c>
      <c r="L64" s="204"/>
    </row>
    <row r="65" spans="1:14" s="170" customFormat="1" x14ac:dyDescent="0.4">
      <c r="A65" s="333"/>
      <c r="B65" s="166"/>
      <c r="C65" s="166">
        <v>20562</v>
      </c>
      <c r="D65" s="166" t="str">
        <f>VLOOKUP(C65,'Project Status'!C:H,6,FALSE)</f>
        <v>WYATT CENTER</v>
      </c>
      <c r="E65" s="172" t="str">
        <f>VLOOKUP(C65,'Project Status'!C:I,7,FALSE)</f>
        <v>Wyatt Center - VAV Replacement</v>
      </c>
      <c r="F65" s="172" t="str">
        <f>VLOOKUP(C65,'Project Status'!C:K,9,FALSE)</f>
        <v>Finalized</v>
      </c>
      <c r="G65" s="172" t="str">
        <f>VLOOKUP(C65,'Project Status'!C:L,10,FALSE)</f>
        <v>Sean Rewers</v>
      </c>
      <c r="H65" s="334"/>
      <c r="I65" s="201">
        <f>VLOOKUP(C65,'Project Status'!C:T,18,FALSE)</f>
        <v>-43231.360000000001</v>
      </c>
      <c r="J65" s="202"/>
      <c r="K65" s="203">
        <f t="shared" si="12"/>
        <v>-43231.360000000001</v>
      </c>
      <c r="L65" s="204"/>
    </row>
    <row r="66" spans="1:14" s="170" customFormat="1" x14ac:dyDescent="0.4">
      <c r="A66" s="333"/>
      <c r="B66" s="166"/>
      <c r="C66" s="166">
        <v>20566</v>
      </c>
      <c r="D66" s="166" t="str">
        <f>VLOOKUP(C66,'Project Status'!C:H,6,FALSE)</f>
        <v>SC CHEMISTRY</v>
      </c>
      <c r="E66" s="172" t="str">
        <f>VLOOKUP(C66,'Project Status'!C:I,7,FALSE)</f>
        <v>SC Chemistry (SC7) - Elevator 1 &amp; 2 Modernization</v>
      </c>
      <c r="F66" s="172" t="str">
        <f>VLOOKUP(C66,'Project Status'!C:K,9,FALSE)</f>
        <v>Finalized</v>
      </c>
      <c r="G66" s="172" t="str">
        <f>VLOOKUP(C66,'Project Status'!C:L,10,FALSE)</f>
        <v>Ben Bedock</v>
      </c>
      <c r="H66" s="334"/>
      <c r="I66" s="201">
        <f>VLOOKUP(C66,'Project Status'!C:T,18,FALSE)</f>
        <v>-59283.32</v>
      </c>
      <c r="J66" s="202"/>
      <c r="K66" s="203">
        <f t="shared" si="12"/>
        <v>-59283.32</v>
      </c>
      <c r="L66" s="204"/>
    </row>
    <row r="67" spans="1:14" s="170" customFormat="1" x14ac:dyDescent="0.4">
      <c r="A67" s="333"/>
      <c r="B67" s="166"/>
      <c r="C67" s="166">
        <v>20573</v>
      </c>
      <c r="D67" s="166" t="str">
        <f>VLOOKUP(C67,'Project Status'!C:H,6,FALSE)</f>
        <v>WYATT CENTER</v>
      </c>
      <c r="E67" s="172" t="str">
        <f>VLOOKUP(C67,'Project Status'!C:I,7,FALSE)</f>
        <v>Wyatt Center - Roof Replacement</v>
      </c>
      <c r="F67" s="172" t="str">
        <f>VLOOKUP(C67,'Project Status'!C:K,9,FALSE)</f>
        <v>Finalized</v>
      </c>
      <c r="G67" s="172" t="str">
        <f>VLOOKUP(C67,'Project Status'!C:L,10,FALSE)</f>
        <v>Ben Bedock</v>
      </c>
      <c r="H67" s="334"/>
      <c r="I67" s="201">
        <f>VLOOKUP(C67,'Project Status'!C:T,18,FALSE)</f>
        <v>-119221</v>
      </c>
      <c r="J67" s="202"/>
      <c r="K67" s="203">
        <f t="shared" si="12"/>
        <v>-119221</v>
      </c>
      <c r="L67" s="204"/>
    </row>
    <row r="68" spans="1:14" s="170" customFormat="1" x14ac:dyDescent="0.4">
      <c r="A68" s="333"/>
      <c r="B68" s="166"/>
      <c r="C68" s="166">
        <v>20574</v>
      </c>
      <c r="D68" s="166" t="str">
        <f>VLOOKUP(C68,'Project Status'!C:H,6,FALSE)</f>
        <v>MRB III BIO/SCI</v>
      </c>
      <c r="E68" s="172" t="str">
        <f>VLOOKUP(C68,'Project Status'!C:I,7,FALSE)</f>
        <v>MRB III - Steam Coil Replacement</v>
      </c>
      <c r="F68" s="172" t="str">
        <f>VLOOKUP(C68,'Project Status'!C:K,9,FALSE)</f>
        <v>Finalized</v>
      </c>
      <c r="G68" s="172" t="str">
        <f>VLOOKUP(C68,'Project Status'!C:L,10,FALSE)</f>
        <v>Sean Rewers</v>
      </c>
      <c r="H68" s="334"/>
      <c r="I68" s="201">
        <f>VLOOKUP(C68,'Project Status'!C:T,18,FALSE)</f>
        <v>-22537</v>
      </c>
      <c r="J68" s="202"/>
      <c r="K68" s="203">
        <f t="shared" si="12"/>
        <v>-22537</v>
      </c>
      <c r="L68" s="205"/>
    </row>
    <row r="69" spans="1:14" s="170" customFormat="1" x14ac:dyDescent="0.4">
      <c r="A69" s="333"/>
      <c r="B69" s="166"/>
      <c r="C69" s="166">
        <v>20644</v>
      </c>
      <c r="D69" s="166" t="str">
        <f>VLOOKUP(C69,'Project Status'!C:H,6,FALSE)</f>
        <v>PEABODY ADMINISTRATION</v>
      </c>
      <c r="E69" s="172" t="str">
        <f>VLOOKUP(C69,'Project Status'!C:I,7,FALSE)</f>
        <v>Peabody Administration - Envelope Repairs</v>
      </c>
      <c r="F69" s="172" t="str">
        <f>VLOOKUP(C69,'Project Status'!C:K,9,FALSE)</f>
        <v>Finalized</v>
      </c>
      <c r="G69" s="172" t="str">
        <f>VLOOKUP(C69,'Project Status'!C:L,10,FALSE)</f>
        <v>Ben Bedock</v>
      </c>
      <c r="H69" s="334"/>
      <c r="I69" s="201">
        <f>VLOOKUP(C69,'Project Status'!C:T,18,FALSE)</f>
        <v>-58765</v>
      </c>
      <c r="J69" s="202"/>
      <c r="K69" s="203">
        <f t="shared" si="12"/>
        <v>-58765</v>
      </c>
      <c r="L69" s="205"/>
    </row>
    <row r="70" spans="1:14" s="170" customFormat="1" x14ac:dyDescent="0.4">
      <c r="A70" s="333"/>
      <c r="B70" s="166"/>
      <c r="C70" s="166">
        <v>20645</v>
      </c>
      <c r="D70" s="166" t="str">
        <f>VLOOKUP(C70,'Project Status'!C:H,6,FALSE)</f>
        <v>BENSON OLD CENTRAL</v>
      </c>
      <c r="E70" s="172" t="str">
        <f>VLOOKUP(C70,'Project Status'!C:I,7,FALSE)</f>
        <v>Benson Old Central - Replace Soffit and Doors</v>
      </c>
      <c r="F70" s="172" t="str">
        <f>VLOOKUP(C70,'Project Status'!C:K,9,FALSE)</f>
        <v>Finalized</v>
      </c>
      <c r="G70" s="172" t="str">
        <f>VLOOKUP(C70,'Project Status'!C:L,10,FALSE)</f>
        <v>Ben Bedock</v>
      </c>
      <c r="H70" s="334"/>
      <c r="I70" s="201">
        <f>VLOOKUP(C70,'Project Status'!C:T,18,FALSE)</f>
        <v>-11525</v>
      </c>
      <c r="J70" s="202"/>
      <c r="K70" s="203">
        <f t="shared" si="12"/>
        <v>-11525</v>
      </c>
      <c r="L70" s="206" t="s">
        <v>358</v>
      </c>
    </row>
    <row r="71" spans="1:14" s="170" customFormat="1" x14ac:dyDescent="0.4">
      <c r="A71" s="333"/>
      <c r="B71" s="166"/>
      <c r="C71" s="166">
        <v>20702</v>
      </c>
      <c r="D71" s="166" t="str">
        <f>VLOOKUP(C71,'Project Status'!C:H,6,FALSE)</f>
        <v>WYATT CENTER</v>
      </c>
      <c r="E71" s="172" t="str">
        <f>VLOOKUP(C71,'Project Status'!C:I,7,FALSE)</f>
        <v>Wyatt Center - Elevator #2 Modernization</v>
      </c>
      <c r="F71" s="172" t="str">
        <f>VLOOKUP(C71,'Project Status'!C:K,9,FALSE)</f>
        <v>Finalized</v>
      </c>
      <c r="G71" s="172" t="str">
        <f>VLOOKUP(C71,'Project Status'!C:L,10,FALSE)</f>
        <v>Ben Bedock</v>
      </c>
      <c r="H71" s="334"/>
      <c r="I71" s="201">
        <f>VLOOKUP(C71,'Project Status'!C:T,18,FALSE)</f>
        <v>-29922</v>
      </c>
      <c r="J71" s="202"/>
      <c r="K71" s="203">
        <f t="shared" si="12"/>
        <v>-29922</v>
      </c>
      <c r="L71" s="206" t="s">
        <v>359</v>
      </c>
    </row>
    <row r="72" spans="1:14" s="170" customFormat="1" x14ac:dyDescent="0.4">
      <c r="A72" s="333"/>
      <c r="B72" s="166"/>
      <c r="C72" s="166">
        <v>20771</v>
      </c>
      <c r="D72" s="166" t="str">
        <f>VLOOKUP(C72,'Project Status'!C:H,6,FALSE)</f>
        <v>SC CHEMISTRY</v>
      </c>
      <c r="E72" s="172" t="str">
        <f>VLOOKUP(C72,'Project Status'!C:I,7,FALSE)</f>
        <v>SC4 - Interstitial Space HVAC Modifications</v>
      </c>
      <c r="F72" s="172" t="str">
        <f>VLOOKUP(C72,'Project Status'!C:K,9,FALSE)</f>
        <v>Finalized</v>
      </c>
      <c r="G72" s="172" t="str">
        <f>VLOOKUP(C72,'Project Status'!C:L,10,FALSE)</f>
        <v>Sean Rewers</v>
      </c>
      <c r="H72" s="334"/>
      <c r="I72" s="201">
        <f>VLOOKUP(C72,'Project Status'!C:T,18,FALSE)</f>
        <v>-7025</v>
      </c>
      <c r="J72" s="202"/>
      <c r="K72" s="203">
        <f t="shared" ref="K72" si="13">IF(J72="TBD",J72,SUM(I72:J72))</f>
        <v>-7025</v>
      </c>
      <c r="L72" s="206"/>
    </row>
    <row r="73" spans="1:14" s="170" customFormat="1" x14ac:dyDescent="0.4">
      <c r="A73" s="333"/>
      <c r="B73" s="166"/>
      <c r="C73" s="166">
        <v>20792</v>
      </c>
      <c r="D73" s="166" t="str">
        <f>VLOOKUP(C73,'Project Status'!C:H,6,FALSE)</f>
        <v>LAW SCHOOL</v>
      </c>
      <c r="E73" s="172" t="str">
        <f>VLOOKUP(C73,'Project Status'!C:I,7,FALSE)</f>
        <v>Law School - Sections 1, 2, &amp; 3  Roof Replacement</v>
      </c>
      <c r="F73" s="172" t="str">
        <f>VLOOKUP(C73,'Project Status'!C:K,9,FALSE)</f>
        <v>Finalized</v>
      </c>
      <c r="G73" s="172" t="str">
        <f>VLOOKUP(C73,'Project Status'!C:L,10,FALSE)</f>
        <v>Ben Bedock</v>
      </c>
      <c r="H73" s="334"/>
      <c r="I73" s="201">
        <f>VLOOKUP(C73,'Project Status'!C:T,18,FALSE)</f>
        <v>-32665</v>
      </c>
      <c r="J73" s="202"/>
      <c r="K73" s="203">
        <f t="shared" si="12"/>
        <v>-32665</v>
      </c>
      <c r="L73" s="207">
        <f>L32</f>
        <v>567212.74000000022</v>
      </c>
    </row>
    <row r="74" spans="1:14" x14ac:dyDescent="0.4">
      <c r="A74" s="333"/>
      <c r="C74" s="166">
        <v>20735</v>
      </c>
      <c r="D74" s="166" t="str">
        <f>VLOOKUP(C74,'Project Status'!C:H,6,FALSE)</f>
        <v>OWEN GRAD MGMT</v>
      </c>
      <c r="E74" s="172" t="str">
        <f>VLOOKUP(C74,'Project Status'!C:I,7,FALSE)</f>
        <v>Owen - Roof Replacement (Third Level)</v>
      </c>
      <c r="F74" s="172" t="str">
        <f>VLOOKUP(C74,'Project Status'!C:K,9,FALSE)</f>
        <v>Finalized</v>
      </c>
      <c r="G74" s="172" t="str">
        <f>VLOOKUP(C74,'Project Status'!C:L,10,FALSE)</f>
        <v>Ben Bedock</v>
      </c>
      <c r="H74" s="334"/>
      <c r="I74" s="201">
        <f>VLOOKUP(C74,'Project Status'!C:T,18,FALSE)</f>
        <v>-23500</v>
      </c>
      <c r="J74" s="202"/>
      <c r="K74" s="203">
        <f t="shared" ref="K74" si="14">IF(J74="TBD",J74,SUM(I74:J74))</f>
        <v>-23500</v>
      </c>
      <c r="L74" s="200"/>
    </row>
    <row r="75" spans="1:14" x14ac:dyDescent="0.4">
      <c r="H75" s="334"/>
      <c r="I75" s="208">
        <f>SUM(I35:I74)</f>
        <v>11427472.939999999</v>
      </c>
      <c r="J75" s="208">
        <f>SUM(J35:J74)</f>
        <v>0</v>
      </c>
      <c r="K75" s="208">
        <f>SUM(K35:K74)</f>
        <v>11427472.939999999</v>
      </c>
      <c r="L75" s="208">
        <f>H35-K75+L73</f>
        <v>169023.08999999985</v>
      </c>
      <c r="M75" s="167"/>
      <c r="N75" s="167"/>
    </row>
    <row r="76" spans="1:14" x14ac:dyDescent="0.4">
      <c r="I76" s="193" t="b">
        <f>I75='JE LOG_FY24'!C21</f>
        <v>1</v>
      </c>
      <c r="J76" s="193"/>
      <c r="L76" s="183"/>
      <c r="M76" s="167"/>
      <c r="N76" s="167"/>
    </row>
    <row r="77" spans="1:14" x14ac:dyDescent="0.4">
      <c r="A77" s="335" t="s">
        <v>271</v>
      </c>
      <c r="B77" s="180"/>
      <c r="C77" s="180" t="s">
        <v>426</v>
      </c>
      <c r="D77" s="180" t="s">
        <v>113</v>
      </c>
      <c r="E77" s="180" t="s">
        <v>87</v>
      </c>
      <c r="F77" s="180" t="s">
        <v>127</v>
      </c>
      <c r="G77" s="180" t="s">
        <v>128</v>
      </c>
      <c r="H77" s="209" t="s">
        <v>270</v>
      </c>
      <c r="I77" s="210" t="s">
        <v>236</v>
      </c>
      <c r="J77" s="210"/>
      <c r="K77" s="211" t="s">
        <v>267</v>
      </c>
      <c r="L77" s="211" t="s">
        <v>237</v>
      </c>
    </row>
    <row r="78" spans="1:14" s="168" customFormat="1" x14ac:dyDescent="0.4">
      <c r="A78" s="335"/>
      <c r="B78" s="172">
        <v>1</v>
      </c>
      <c r="C78" s="178">
        <v>20489</v>
      </c>
      <c r="D78" s="178" t="str">
        <f>VLOOKUP(C78,'Project Status'!C:H,6,FALSE)</f>
        <v>DIVINITY</v>
      </c>
      <c r="E78" s="178" t="str">
        <f>VLOOKUP(C78,'Project Status'!C:I,7,FALSE)</f>
        <v>Divinity Air Handling Unit Replacement,(1/3) - Phase 2 with Benton - FY26</v>
      </c>
      <c r="F78" s="178" t="str">
        <f>VLOOKUP(C78,'Project Status'!C:K,9,FALSE)</f>
        <v>Construction</v>
      </c>
      <c r="G78" s="178" t="str">
        <f>VLOOKUP(C78,'Project Status'!C:L,10,FALSE)</f>
        <v>Jay Surprenant</v>
      </c>
      <c r="H78" s="336">
        <f>Contributions!K18</f>
        <v>12857284.462265246</v>
      </c>
      <c r="I78" s="197">
        <f>VLOOKUP(C78,'Project Status'!C:U,19,FALSE)</f>
        <v>304500</v>
      </c>
      <c r="J78" s="212"/>
      <c r="K78" s="199">
        <f>SUM(I78:J78)</f>
        <v>304500</v>
      </c>
      <c r="L78" s="213"/>
    </row>
    <row r="79" spans="1:14" s="168" customFormat="1" x14ac:dyDescent="0.4">
      <c r="A79" s="335"/>
      <c r="B79" s="172">
        <f>B78+1</f>
        <v>2</v>
      </c>
      <c r="C79" s="178">
        <v>20577</v>
      </c>
      <c r="D79" s="178" t="str">
        <f>VLOOKUP(C79,'Project Status'!C:H,6,FALSE)</f>
        <v>BLAIR SCHOOL OF MUSIC</v>
      </c>
      <c r="E79" s="178" t="str">
        <f>VLOOKUP(C79,'Project Status'!C:I,7,FALSE)</f>
        <v>Blair School of Music - AHU - 1 Replacement - Phase 1 - FY25</v>
      </c>
      <c r="F79" s="178" t="str">
        <f>VLOOKUP(C79,'Project Status'!C:K,9,FALSE)</f>
        <v>Construction</v>
      </c>
      <c r="G79" s="178" t="str">
        <f>VLOOKUP(C79,'Project Status'!C:L,10,FALSE)</f>
        <v>Jay Surprenant</v>
      </c>
      <c r="H79" s="336"/>
      <c r="I79" s="197">
        <f>VLOOKUP(C79,'Project Status'!C:U,19,FALSE)</f>
        <v>1077000</v>
      </c>
      <c r="J79" s="212"/>
      <c r="K79" s="199">
        <f>SUM(I79:J79)</f>
        <v>1077000</v>
      </c>
      <c r="L79" s="213"/>
    </row>
    <row r="80" spans="1:14" s="168" customFormat="1" x14ac:dyDescent="0.4">
      <c r="A80" s="335"/>
      <c r="B80" s="172">
        <f t="shared" ref="B80:B103" si="15">B79+1</f>
        <v>3</v>
      </c>
      <c r="C80" s="178">
        <v>20667</v>
      </c>
      <c r="D80" s="178" t="str">
        <f>VLOOKUP(C80,'Project Status'!C:H,6,FALSE)</f>
        <v>1025 16TH AVE S</v>
      </c>
      <c r="E80" s="178" t="str">
        <f>VLOOKUP(C80,'Project Status'!C:I,7,FALSE)</f>
        <v>1025 16th Avenue - Mechanical and Electrical Upgrades</v>
      </c>
      <c r="F80" s="178" t="str">
        <f>VLOOKUP(C80,'Project Status'!C:K,9,FALSE)</f>
        <v>Construction</v>
      </c>
      <c r="G80" s="178" t="str">
        <f>VLOOKUP(C80,'Project Status'!C:L,10,FALSE)</f>
        <v>Kylie Mignoli</v>
      </c>
      <c r="H80" s="336"/>
      <c r="I80" s="197">
        <f>VLOOKUP(C80,'Project Status'!C:U,19,FALSE)</f>
        <v>1398860</v>
      </c>
      <c r="J80" s="212"/>
      <c r="K80" s="199">
        <f t="shared" ref="K80:K92" si="16">SUM(I80:J80)</f>
        <v>1398860</v>
      </c>
      <c r="L80" s="213"/>
    </row>
    <row r="81" spans="1:12" s="168" customFormat="1" x14ac:dyDescent="0.4">
      <c r="A81" s="335"/>
      <c r="B81" s="172">
        <f t="shared" si="15"/>
        <v>4</v>
      </c>
      <c r="C81" s="178">
        <v>20723</v>
      </c>
      <c r="D81" s="178" t="str">
        <f>VLOOKUP(C81,'Project Status'!C:H,6,FALSE)</f>
        <v>MRB III BIO/SCI</v>
      </c>
      <c r="E81" s="178" t="str">
        <f>VLOOKUP(C81,'Project Status'!C:I,7,FALSE)</f>
        <v>MRB III - 9th Floor (with 4 ,5 &amp; 8) - Replace Controls (Phase 3)</v>
      </c>
      <c r="F81" s="178" t="str">
        <f>VLOOKUP(C81,'Project Status'!C:K,9,FALSE)</f>
        <v>Construction</v>
      </c>
      <c r="G81" s="178" t="str">
        <f>VLOOKUP(C81,'Project Status'!C:L,10,FALSE)</f>
        <v>Jay Surprenant</v>
      </c>
      <c r="H81" s="336"/>
      <c r="I81" s="197">
        <f>VLOOKUP(C81,'Project Status'!C:U,19,FALSE)</f>
        <v>1539500</v>
      </c>
      <c r="J81" s="212"/>
      <c r="K81" s="199">
        <f t="shared" si="16"/>
        <v>1539500</v>
      </c>
      <c r="L81" s="213"/>
    </row>
    <row r="82" spans="1:12" s="168" customFormat="1" x14ac:dyDescent="0.4">
      <c r="A82" s="335"/>
      <c r="B82" s="172">
        <f t="shared" si="15"/>
        <v>5</v>
      </c>
      <c r="C82" s="178">
        <v>20772</v>
      </c>
      <c r="D82" s="178" t="str">
        <f>VLOOKUP(C82,'Project Status'!C:H,6,FALSE)</f>
        <v>OWEN GRAD MGMT</v>
      </c>
      <c r="E82" s="178" t="str">
        <f>VLOOKUP(C82,'Project Status'!C:I,7,FALSE)</f>
        <v>OGSM Old Mechanical- Slate Roof &amp; Window Replacement</v>
      </c>
      <c r="F82" s="178" t="str">
        <f>VLOOKUP(C82,'Project Status'!C:K,9,FALSE)</f>
        <v>Finalized</v>
      </c>
      <c r="G82" s="178" t="str">
        <f>VLOOKUP(C82,'Project Status'!C:L,10,FALSE)</f>
        <v>Ben Bedock</v>
      </c>
      <c r="H82" s="336"/>
      <c r="I82" s="197">
        <f>VLOOKUP(C82,'Project Status'!C:U,19,FALSE)</f>
        <v>1600000</v>
      </c>
      <c r="J82" s="212"/>
      <c r="K82" s="199">
        <f t="shared" si="16"/>
        <v>1600000</v>
      </c>
      <c r="L82" s="213"/>
    </row>
    <row r="83" spans="1:12" s="168" customFormat="1" x14ac:dyDescent="0.4">
      <c r="A83" s="335"/>
      <c r="B83" s="172">
        <f t="shared" si="15"/>
        <v>6</v>
      </c>
      <c r="C83" s="178">
        <v>20812</v>
      </c>
      <c r="D83" s="178" t="str">
        <f>VLOOKUP(C83,'Project Status'!C:H,6,FALSE)</f>
        <v>1025 16TH AVE GARAGE</v>
      </c>
      <c r="E83" s="178" t="str">
        <f>VLOOKUP(C83,'Project Status'!C:I,7,FALSE)</f>
        <v>1025 16th Avenue - Patio Repairs</v>
      </c>
      <c r="F83" s="178" t="str">
        <f>VLOOKUP(C83,'Project Status'!C:K,9,FALSE)</f>
        <v>Construction</v>
      </c>
      <c r="G83" s="178" t="str">
        <f>VLOOKUP(C83,'Project Status'!C:L,10,FALSE)</f>
        <v>Sean Rewers</v>
      </c>
      <c r="H83" s="336"/>
      <c r="I83" s="197">
        <f>VLOOKUP(C83,'Project Status'!C:U,19,FALSE)</f>
        <v>486135</v>
      </c>
      <c r="J83" s="212"/>
      <c r="K83" s="199">
        <f t="shared" si="16"/>
        <v>486135</v>
      </c>
      <c r="L83" s="213"/>
    </row>
    <row r="84" spans="1:12" s="168" customFormat="1" x14ac:dyDescent="0.4">
      <c r="A84" s="335"/>
      <c r="B84" s="172">
        <f t="shared" si="15"/>
        <v>7</v>
      </c>
      <c r="C84" s="178">
        <v>20885</v>
      </c>
      <c r="D84" s="178" t="str">
        <f>VLOOKUP(C84,'Project Status'!C:H,6,FALSE)</f>
        <v>BIOMOLECULAR NMR</v>
      </c>
      <c r="E84" s="178" t="str">
        <f>VLOOKUP(C84,'Project Status'!C:I,7,FALSE)</f>
        <v>NMR - Replace Air Compressors</v>
      </c>
      <c r="F84" s="178" t="str">
        <f>VLOOKUP(C84,'Project Status'!C:K,9,FALSE)</f>
        <v>Financial Closeout</v>
      </c>
      <c r="G84" s="178" t="str">
        <f>VLOOKUP(C84,'Project Status'!C:L,10,FALSE)</f>
        <v>Sean Rewers</v>
      </c>
      <c r="H84" s="336"/>
      <c r="I84" s="197">
        <f>VLOOKUP(C84,'Project Status'!C:U,19,FALSE)</f>
        <v>30000</v>
      </c>
      <c r="J84" s="212"/>
      <c r="K84" s="199">
        <f t="shared" si="16"/>
        <v>30000</v>
      </c>
      <c r="L84" s="213"/>
    </row>
    <row r="85" spans="1:12" s="168" customFormat="1" x14ac:dyDescent="0.4">
      <c r="A85" s="335"/>
      <c r="B85" s="172">
        <f t="shared" si="15"/>
        <v>8</v>
      </c>
      <c r="C85" s="178">
        <v>20925</v>
      </c>
      <c r="D85" s="178" t="str">
        <f>VLOOKUP(C85,'Project Status'!C:H,6,FALSE)</f>
        <v>BLAIR SCHOOL OF MUSIC</v>
      </c>
      <c r="E85" s="178" t="str">
        <f>VLOOKUP(C85,'Project Status'!C:I,7,FALSE)</f>
        <v>Blair School of Music - AHU 2/3 Replacement  - Phase 2 - FY26</v>
      </c>
      <c r="F85" s="178" t="str">
        <f>VLOOKUP(C85,'Project Status'!C:K,9,FALSE)</f>
        <v>Construction</v>
      </c>
      <c r="G85" s="178" t="str">
        <f>VLOOKUP(C85,'Project Status'!C:L,10,FALSE)</f>
        <v>Jay Surprenant</v>
      </c>
      <c r="H85" s="336"/>
      <c r="I85" s="197">
        <f>VLOOKUP(C85,'Project Status'!C:U,19,FALSE)</f>
        <v>409000</v>
      </c>
      <c r="J85" s="212"/>
      <c r="K85" s="199">
        <f t="shared" ref="K85" si="17">SUM(I85:J85)</f>
        <v>409000</v>
      </c>
      <c r="L85" s="213"/>
    </row>
    <row r="86" spans="1:12" s="168" customFormat="1" x14ac:dyDescent="0.4">
      <c r="A86" s="335"/>
      <c r="B86" s="172">
        <f t="shared" si="15"/>
        <v>9</v>
      </c>
      <c r="C86" s="178">
        <v>20940</v>
      </c>
      <c r="D86" s="178" t="str">
        <f>VLOOKUP(C86,'Project Status'!C:H,6,FALSE)</f>
        <v>1025 16TH AVE S</v>
      </c>
      <c r="E86" s="178" t="str">
        <f>VLOOKUP(C86,'Project Status'!C:I,7,FALSE)</f>
        <v>1025 16th Avenue - Security System Replacement</v>
      </c>
      <c r="F86" s="178" t="str">
        <f>VLOOKUP(C86,'Project Status'!C:K,9,FALSE)</f>
        <v>Financial Closeout</v>
      </c>
      <c r="G86" s="178" t="str">
        <f>VLOOKUP(C86,'Project Status'!C:L,10,FALSE)</f>
        <v>Sean Rewers</v>
      </c>
      <c r="H86" s="336"/>
      <c r="I86" s="197">
        <f>VLOOKUP(C86,'Project Status'!C:U,19,FALSE)</f>
        <v>309548.64</v>
      </c>
      <c r="J86" s="212"/>
      <c r="K86" s="199">
        <f t="shared" si="16"/>
        <v>309548.64</v>
      </c>
      <c r="L86" s="213"/>
    </row>
    <row r="87" spans="1:12" x14ac:dyDescent="0.4">
      <c r="A87" s="335"/>
      <c r="B87" s="172">
        <f t="shared" si="15"/>
        <v>10</v>
      </c>
      <c r="C87" s="176">
        <v>20958</v>
      </c>
      <c r="D87" s="176" t="str">
        <f>VLOOKUP(C87,'Project Status'!C:H,6,FALSE)</f>
        <v>FURMAN HALL</v>
      </c>
      <c r="E87" s="176" t="str">
        <f>VLOOKUP(C87,'Project Status'!C:I,7,FALSE)</f>
        <v>Furman Hall - Elevator Modernization</v>
      </c>
      <c r="F87" s="178" t="str">
        <f>VLOOKUP(C87,'Project Status'!C:K,9,FALSE)</f>
        <v>Construction Closeout</v>
      </c>
      <c r="G87" s="178" t="str">
        <f>VLOOKUP(C87,'Project Status'!C:L,10,FALSE)</f>
        <v>Ben Bedock</v>
      </c>
      <c r="H87" s="336"/>
      <c r="I87" s="197">
        <f>VLOOKUP(C87,'Project Status'!C:U,19,FALSE)</f>
        <v>243454</v>
      </c>
      <c r="J87" s="212"/>
      <c r="K87" s="199">
        <f t="shared" si="16"/>
        <v>243454</v>
      </c>
      <c r="L87" s="213"/>
    </row>
    <row r="88" spans="1:12" s="168" customFormat="1" x14ac:dyDescent="0.4">
      <c r="A88" s="335"/>
      <c r="B88" s="172">
        <f t="shared" si="15"/>
        <v>11</v>
      </c>
      <c r="C88" s="178">
        <v>20962</v>
      </c>
      <c r="D88" s="178" t="str">
        <f>VLOOKUP(C88,'Project Status'!C:H,6,FALSE)</f>
        <v>VAUGHN HOME</v>
      </c>
      <c r="E88" s="178" t="str">
        <f>VLOOKUP(C88,'Project Status'!C:I,7,FALSE)</f>
        <v>Vaughn Home - Roof Replacement</v>
      </c>
      <c r="F88" s="178" t="str">
        <f>VLOOKUP(C88,'Project Status'!C:K,9,FALSE)</f>
        <v>Design</v>
      </c>
      <c r="G88" s="178" t="str">
        <f>VLOOKUP(C88,'Project Status'!C:L,10,FALSE)</f>
        <v>Ben Bedock</v>
      </c>
      <c r="H88" s="336"/>
      <c r="I88" s="197">
        <f>VLOOKUP(C88,'Project Status'!C:U,19,FALSE)</f>
        <v>1800</v>
      </c>
      <c r="J88" s="212"/>
      <c r="K88" s="199">
        <f t="shared" si="16"/>
        <v>1800</v>
      </c>
      <c r="L88" s="213"/>
    </row>
    <row r="89" spans="1:12" s="168" customFormat="1" x14ac:dyDescent="0.4">
      <c r="A89" s="335"/>
      <c r="B89" s="172">
        <f t="shared" si="15"/>
        <v>12</v>
      </c>
      <c r="C89" s="178">
        <v>20982</v>
      </c>
      <c r="D89" s="178" t="str">
        <f>VLOOKUP(C89,'Project Status'!C:H,6,FALSE)</f>
        <v>LAW SCHOOL</v>
      </c>
      <c r="E89" s="178" t="str">
        <f>VLOOKUP(C89,'Project Status'!C:I,7,FALSE)</f>
        <v>Law School - Elevator 1 Modernization</v>
      </c>
      <c r="F89" s="178" t="str">
        <f>VLOOKUP(C89,'Project Status'!C:K,9,FALSE)</f>
        <v>Construction Closeout</v>
      </c>
      <c r="G89" s="178" t="str">
        <f>VLOOKUP(C89,'Project Status'!C:L,10,FALSE)</f>
        <v>Ben Bedock</v>
      </c>
      <c r="H89" s="336"/>
      <c r="I89" s="197">
        <f>VLOOKUP(C89,'Project Status'!C:U,19,FALSE)</f>
        <v>253825</v>
      </c>
      <c r="J89" s="212"/>
      <c r="K89" s="199">
        <f t="shared" si="16"/>
        <v>253825</v>
      </c>
      <c r="L89" s="213"/>
    </row>
    <row r="90" spans="1:12" s="168" customFormat="1" x14ac:dyDescent="0.4">
      <c r="A90" s="335"/>
      <c r="B90" s="172">
        <f t="shared" si="15"/>
        <v>13</v>
      </c>
      <c r="C90" s="178">
        <v>20984</v>
      </c>
      <c r="D90" s="178" t="str">
        <f>VLOOKUP(C90,'Project Status'!C:H,6,FALSE)</f>
        <v>WILSON HALL</v>
      </c>
      <c r="E90" s="178" t="str">
        <f>VLOOKUP(C90,'Project Status'!C:I,7,FALSE)</f>
        <v>Wilson Hall - 1st Floor Urinal Replacement</v>
      </c>
      <c r="F90" s="178" t="str">
        <f>VLOOKUP(C90,'Project Status'!C:K,9,FALSE)</f>
        <v>Financial Closeout</v>
      </c>
      <c r="G90" s="178" t="str">
        <f>VLOOKUP(C90,'Project Status'!C:L,10,FALSE)</f>
        <v>Hans Mooy</v>
      </c>
      <c r="H90" s="336"/>
      <c r="I90" s="197">
        <f>VLOOKUP(C90,'Project Status'!C:U,19,FALSE)</f>
        <v>167000</v>
      </c>
      <c r="J90" s="212"/>
      <c r="K90" s="199">
        <f t="shared" si="16"/>
        <v>167000</v>
      </c>
      <c r="L90" s="213"/>
    </row>
    <row r="91" spans="1:12" s="168" customFormat="1" x14ac:dyDescent="0.4">
      <c r="A91" s="335"/>
      <c r="B91" s="172">
        <f t="shared" si="15"/>
        <v>14</v>
      </c>
      <c r="C91" s="178">
        <v>21004</v>
      </c>
      <c r="D91" s="178" t="str">
        <f>VLOOKUP(C91,'Project Status'!C:H,6,FALSE)</f>
        <v>SC SCIENCE &amp; ENGINEERING</v>
      </c>
      <c r="E91" s="178" t="str">
        <f>VLOOKUP(C91,'Project Status'!C:I,7,FALSE)</f>
        <v>SC5 - HVAC Upgrade Floors 1 and 2 (Phase 1)</v>
      </c>
      <c r="F91" s="178" t="str">
        <f>VLOOKUP(C91,'Project Status'!C:K,9,FALSE)</f>
        <v>Construction</v>
      </c>
      <c r="G91" s="178" t="str">
        <f>VLOOKUP(C91,'Project Status'!C:L,10,FALSE)</f>
        <v>Jay Surprenant</v>
      </c>
      <c r="H91" s="336"/>
      <c r="I91" s="197">
        <f>VLOOKUP(C91,'Project Status'!C:U,19,FALSE)</f>
        <v>992453</v>
      </c>
      <c r="J91" s="214"/>
      <c r="K91" s="199">
        <f t="shared" si="16"/>
        <v>992453</v>
      </c>
      <c r="L91" s="215"/>
    </row>
    <row r="92" spans="1:12" s="168" customFormat="1" x14ac:dyDescent="0.4">
      <c r="A92" s="335"/>
      <c r="B92" s="172">
        <f t="shared" si="15"/>
        <v>15</v>
      </c>
      <c r="C92" s="178">
        <v>21010</v>
      </c>
      <c r="D92" s="178" t="str">
        <f>VLOOKUP(C92,'Project Status'!C:H,6,FALSE)</f>
        <v>FEATHERINGILL-JACOBS HALL</v>
      </c>
      <c r="E92" s="178" t="str">
        <f>VLOOKUP(C92,'Project Status'!C:I,7,FALSE)</f>
        <v>Featheringill-Jacobs Hall - Hot Water Tank Replacement</v>
      </c>
      <c r="F92" s="178" t="str">
        <f>VLOOKUP(C92,'Project Status'!C:K,9,FALSE)</f>
        <v>Financial Closeout</v>
      </c>
      <c r="G92" s="178" t="str">
        <f>VLOOKUP(C92,'Project Status'!C:L,10,FALSE)</f>
        <v>Sean Rewers</v>
      </c>
      <c r="H92" s="336"/>
      <c r="I92" s="197">
        <f>VLOOKUP(C92,'Project Status'!C:U,19,FALSE)</f>
        <v>126024</v>
      </c>
      <c r="J92" s="212"/>
      <c r="K92" s="199">
        <f t="shared" si="16"/>
        <v>126024</v>
      </c>
      <c r="L92" s="215"/>
    </row>
    <row r="93" spans="1:12" s="168" customFormat="1" x14ac:dyDescent="0.4">
      <c r="A93" s="335"/>
      <c r="B93" s="172">
        <f t="shared" si="15"/>
        <v>16</v>
      </c>
      <c r="C93" s="176">
        <v>21066</v>
      </c>
      <c r="D93" s="178" t="str">
        <f>VLOOKUP(C93,'Project Status'!C:H,6,FALSE)</f>
        <v>SC MOLEC BIOLOGY</v>
      </c>
      <c r="E93" s="178" t="str">
        <f>VLOOKUP(C93,'Project Status'!C:I,7,FALSE)</f>
        <v>SC2 - MEP Feasibility Study</v>
      </c>
      <c r="F93" s="178" t="str">
        <f>VLOOKUP(C93,'Project Status'!C:K,9,FALSE)</f>
        <v>Programming or Planning</v>
      </c>
      <c r="G93" s="178" t="str">
        <f>VLOOKUP(C93,'Project Status'!C:L,10,FALSE)</f>
        <v>Sean Rewers</v>
      </c>
      <c r="H93" s="336"/>
      <c r="I93" s="197">
        <f>VLOOKUP(C93,'Project Status'!C:U,19,FALSE)</f>
        <v>29160</v>
      </c>
      <c r="J93" s="212"/>
      <c r="K93" s="199">
        <f t="shared" ref="K93:K101" si="18">SUM(I93:J93)</f>
        <v>29160</v>
      </c>
      <c r="L93" s="215"/>
    </row>
    <row r="94" spans="1:12" s="168" customFormat="1" x14ac:dyDescent="0.4">
      <c r="A94" s="335"/>
      <c r="B94" s="172">
        <f t="shared" si="15"/>
        <v>17</v>
      </c>
      <c r="C94" s="176">
        <v>21067</v>
      </c>
      <c r="D94" s="178" t="str">
        <f>VLOOKUP(C94,'Project Status'!C:H,6,FALSE)</f>
        <v>GODCHAUX HALL</v>
      </c>
      <c r="E94" s="178" t="str">
        <f>VLOOKUP(C94,'Project Status'!C:I,7,FALSE)</f>
        <v>Godchaux Hall - Phase 2 HVAC Upgrades and Roof Replacement</v>
      </c>
      <c r="F94" s="178" t="str">
        <f>VLOOKUP(C94,'Project Status'!C:K,9,FALSE)</f>
        <v>Bidding</v>
      </c>
      <c r="G94" s="178" t="str">
        <f>VLOOKUP(C94,'Project Status'!C:L,10,FALSE)</f>
        <v>Sean Rewers</v>
      </c>
      <c r="H94" s="336"/>
      <c r="I94" s="197">
        <f>VLOOKUP(C94,'Project Status'!C:U,19,FALSE)</f>
        <v>46600</v>
      </c>
      <c r="J94" s="212"/>
      <c r="K94" s="199">
        <f t="shared" si="18"/>
        <v>46600</v>
      </c>
      <c r="L94" s="215"/>
    </row>
    <row r="95" spans="1:12" s="168" customFormat="1" x14ac:dyDescent="0.4">
      <c r="A95" s="335"/>
      <c r="B95" s="172">
        <f t="shared" si="15"/>
        <v>18</v>
      </c>
      <c r="C95" s="176">
        <v>21068</v>
      </c>
      <c r="D95" s="178" t="str">
        <f>VLOOKUP(C95,'Project Status'!C:H,6,FALSE)</f>
        <v>BUTTRICK HALL</v>
      </c>
      <c r="E95" s="178" t="str">
        <f>VLOOKUP(C95,'Project Status'!C:I,7,FALSE)</f>
        <v>Buttrick Hall - Insulate First Floor Slab</v>
      </c>
      <c r="F95" s="178" t="str">
        <f>VLOOKUP(C95,'Project Status'!C:K,9,FALSE)</f>
        <v>Construction Closeout</v>
      </c>
      <c r="G95" s="178" t="str">
        <f>VLOOKUP(C95,'Project Status'!C:L,10,FALSE)</f>
        <v>Jay Surprenant</v>
      </c>
      <c r="H95" s="336"/>
      <c r="I95" s="197">
        <f>VLOOKUP(C95,'Project Status'!C:U,19,FALSE)</f>
        <v>34837.4</v>
      </c>
      <c r="J95" s="212"/>
      <c r="K95" s="199">
        <f t="shared" si="18"/>
        <v>34837.4</v>
      </c>
      <c r="L95" s="215"/>
    </row>
    <row r="96" spans="1:12" s="168" customFormat="1" x14ac:dyDescent="0.4">
      <c r="A96" s="335"/>
      <c r="B96" s="172">
        <f t="shared" si="15"/>
        <v>19</v>
      </c>
      <c r="C96" s="176">
        <v>21070</v>
      </c>
      <c r="D96" s="178" t="str">
        <f>VLOOKUP(C96,'Project Status'!C:H,6,FALSE)</f>
        <v>OLIN HALL</v>
      </c>
      <c r="E96" s="178" t="str">
        <f>VLOOKUP(C96,'Project Status'!C:I,7,FALSE)</f>
        <v>Olin Hall - Exterior Facade Cleaning</v>
      </c>
      <c r="F96" s="178" t="str">
        <f>VLOOKUP(C96,'Project Status'!C:K,9,FALSE)</f>
        <v>Financial Closeout</v>
      </c>
      <c r="G96" s="178" t="str">
        <f>VLOOKUP(C96,'Project Status'!C:L,10,FALSE)</f>
        <v>Ben Bedock</v>
      </c>
      <c r="H96" s="336"/>
      <c r="I96" s="197">
        <f>VLOOKUP(C96,'Project Status'!C:U,19,FALSE)</f>
        <v>392042.1</v>
      </c>
      <c r="J96" s="212"/>
      <c r="K96" s="199">
        <f t="shared" si="18"/>
        <v>392042.1</v>
      </c>
      <c r="L96" s="215"/>
    </row>
    <row r="97" spans="1:13" s="168" customFormat="1" x14ac:dyDescent="0.4">
      <c r="A97" s="335"/>
      <c r="B97" s="172">
        <f t="shared" si="15"/>
        <v>20</v>
      </c>
      <c r="C97" s="176">
        <v>21071</v>
      </c>
      <c r="D97" s="178" t="str">
        <f>VLOOKUP(C97,'Project Status'!C:H,6,FALSE)</f>
        <v>SC MATH</v>
      </c>
      <c r="E97" s="178" t="str">
        <f>VLOOKUP(C97,'Project Status'!C:I,7,FALSE)</f>
        <v>SC1 - MEP Feasibility Study</v>
      </c>
      <c r="F97" s="178" t="str">
        <f>VLOOKUP(C97,'Project Status'!C:K,9,FALSE)</f>
        <v>Programming or Planning</v>
      </c>
      <c r="G97" s="178" t="str">
        <f>VLOOKUP(C97,'Project Status'!C:L,10,FALSE)</f>
        <v>Sean Rewers</v>
      </c>
      <c r="H97" s="336"/>
      <c r="I97" s="197">
        <f>VLOOKUP(C97,'Project Status'!C:U,19,FALSE)</f>
        <v>19440</v>
      </c>
      <c r="J97" s="212"/>
      <c r="K97" s="199">
        <f t="shared" si="18"/>
        <v>19440</v>
      </c>
      <c r="L97" s="215"/>
    </row>
    <row r="98" spans="1:13" s="168" customFormat="1" x14ac:dyDescent="0.4">
      <c r="A98" s="335"/>
      <c r="B98" s="172">
        <f t="shared" si="15"/>
        <v>21</v>
      </c>
      <c r="C98" s="176">
        <v>21094</v>
      </c>
      <c r="D98" s="178" t="str">
        <f>VLOOKUP(C98,'Project Status'!C:H,6,FALSE)</f>
        <v>GODCHAUX HALL</v>
      </c>
      <c r="E98" s="178" t="str">
        <f>VLOOKUP(C98,'Project Status'!C:I,7,FALSE)</f>
        <v>Godchaux Hall - Replace Fire Pump</v>
      </c>
      <c r="F98" s="178" t="str">
        <f>VLOOKUP(C98,'Project Status'!C:K,9,FALSE)</f>
        <v>Financial Closeout</v>
      </c>
      <c r="G98" s="178" t="str">
        <f>VLOOKUP(C98,'Project Status'!C:L,10,FALSE)</f>
        <v>Sean Rewers</v>
      </c>
      <c r="H98" s="336"/>
      <c r="I98" s="197">
        <f>VLOOKUP(C98,'Project Status'!C:U,19,FALSE)</f>
        <v>87500</v>
      </c>
      <c r="J98" s="212"/>
      <c r="K98" s="199">
        <f t="shared" si="18"/>
        <v>87500</v>
      </c>
      <c r="L98" s="215"/>
    </row>
    <row r="99" spans="1:13" s="168" customFormat="1" x14ac:dyDescent="0.4">
      <c r="A99" s="335"/>
      <c r="B99" s="172">
        <f t="shared" si="15"/>
        <v>22</v>
      </c>
      <c r="C99" s="176">
        <v>21108</v>
      </c>
      <c r="D99" s="178" t="str">
        <f>VLOOKUP(C99,'Project Status'!C:H,6,FALSE)</f>
        <v>1025 16TH AVE S</v>
      </c>
      <c r="E99" s="178" t="str">
        <f>VLOOKUP(C99,'Project Status'!C:I,7,FALSE)</f>
        <v>1025 16th Avenue - Electrical and HVAC Study</v>
      </c>
      <c r="F99" s="178" t="str">
        <f>VLOOKUP(C99,'Project Status'!C:K,9,FALSE)</f>
        <v>Finalized</v>
      </c>
      <c r="G99" s="178" t="str">
        <f>VLOOKUP(C99,'Project Status'!C:L,10,FALSE)</f>
        <v>Sean Rewers</v>
      </c>
      <c r="H99" s="336"/>
      <c r="I99" s="197">
        <f>VLOOKUP(C99,'Project Status'!C:U,19,FALSE)</f>
        <v>5000</v>
      </c>
      <c r="J99" s="212"/>
      <c r="K99" s="199">
        <f t="shared" si="18"/>
        <v>5000</v>
      </c>
      <c r="L99" s="215"/>
    </row>
    <row r="100" spans="1:13" s="168" customFormat="1" x14ac:dyDescent="0.4">
      <c r="A100" s="335"/>
      <c r="B100" s="172">
        <f t="shared" si="15"/>
        <v>23</v>
      </c>
      <c r="C100" s="178">
        <v>21113</v>
      </c>
      <c r="D100" s="178" t="str">
        <f>VLOOKUP(C100,'Project Status'!C:H,6,FALSE)</f>
        <v>MRB III BIO/SCI</v>
      </c>
      <c r="E100" s="178" t="str">
        <f>VLOOKUP(C100,'Project Status'!C:I,7,FALSE)</f>
        <v>MRBIII - Lecture Hall V1220 Lighting Upgrade</v>
      </c>
      <c r="F100" s="178" t="str">
        <f>VLOOKUP(C100,'Project Status'!C:K,9,FALSE)</f>
        <v>Construction</v>
      </c>
      <c r="G100" s="178" t="str">
        <f>VLOOKUP(C100,'Project Status'!C:L,10,FALSE)</f>
        <v>Jay Surprenant</v>
      </c>
      <c r="H100" s="336"/>
      <c r="I100" s="216">
        <f>VLOOKUP(C100,'Project Status'!C:U,19,FALSE)</f>
        <v>82125</v>
      </c>
      <c r="J100" s="214"/>
      <c r="K100" s="217">
        <f t="shared" si="18"/>
        <v>82125</v>
      </c>
      <c r="L100" s="215"/>
    </row>
    <row r="101" spans="1:13" s="168" customFormat="1" x14ac:dyDescent="0.4">
      <c r="A101" s="335"/>
      <c r="B101" s="172">
        <f t="shared" si="15"/>
        <v>24</v>
      </c>
      <c r="C101" s="178">
        <v>21114</v>
      </c>
      <c r="D101" s="178" t="str">
        <f>VLOOKUP(C101,'Project Status'!C:H,6,FALSE)</f>
        <v>MRB III BIO/SCI</v>
      </c>
      <c r="E101" s="178" t="str">
        <f>VLOOKUP(C101,'Project Status'!C:I,7,FALSE)</f>
        <v>MRBIII - Chemical Discharge Tank Replacement</v>
      </c>
      <c r="F101" s="178" t="str">
        <f>VLOOKUP(C101,'Project Status'!C:K,9,FALSE)</f>
        <v>Construction</v>
      </c>
      <c r="G101" s="178" t="str">
        <f>VLOOKUP(C101,'Project Status'!C:L,10,FALSE)</f>
        <v>Jay Surprenant</v>
      </c>
      <c r="H101" s="336"/>
      <c r="I101" s="197">
        <f>VLOOKUP(C101,'Project Status'!C:U,19,FALSE)</f>
        <v>68452</v>
      </c>
      <c r="J101" s="212"/>
      <c r="K101" s="217">
        <f t="shared" si="18"/>
        <v>68452</v>
      </c>
      <c r="L101" s="218"/>
    </row>
    <row r="102" spans="1:13" x14ac:dyDescent="0.4">
      <c r="A102" s="335"/>
      <c r="B102" s="172">
        <f t="shared" si="15"/>
        <v>25</v>
      </c>
      <c r="C102" s="176">
        <v>20979</v>
      </c>
      <c r="D102" s="178" t="str">
        <f>VLOOKUP(C102,'Project Status'!C:H,6,FALSE)</f>
        <v>1025 16TH AVE S</v>
      </c>
      <c r="E102" s="178" t="str">
        <f>VLOOKUP(C102,'Project Status'!C:I,7,FALSE)</f>
        <v>1025 16th Avenue - Roof Replacement</v>
      </c>
      <c r="F102" s="178" t="str">
        <f>VLOOKUP(C102,'Project Status'!C:K,9,FALSE)</f>
        <v>Construction</v>
      </c>
      <c r="G102" s="178" t="str">
        <f>VLOOKUP(C102,'Project Status'!C:L,10,FALSE)</f>
        <v>Ben Bedock</v>
      </c>
      <c r="H102" s="336"/>
      <c r="I102" s="197">
        <f>VLOOKUP(C102,'Project Status'!C:U,19,FALSE)</f>
        <v>529750</v>
      </c>
      <c r="J102" s="212"/>
      <c r="K102" s="199">
        <f t="shared" ref="K102" si="19">SUM(I102:J102)</f>
        <v>529750</v>
      </c>
      <c r="L102" s="219" t="s">
        <v>358</v>
      </c>
    </row>
    <row r="103" spans="1:13" x14ac:dyDescent="0.4">
      <c r="A103" s="335"/>
      <c r="B103" s="172">
        <f t="shared" si="15"/>
        <v>26</v>
      </c>
      <c r="C103" s="176">
        <v>21035</v>
      </c>
      <c r="D103" s="178" t="str">
        <f>VLOOKUP(C103,'Project Status'!C:H,6,FALSE)</f>
        <v>LAW SCHOOL</v>
      </c>
      <c r="E103" s="178" t="str">
        <f>VLOOKUP(C103,'Project Status'!C:I,7,FALSE)</f>
        <v>Law School - Roof Ladders</v>
      </c>
      <c r="F103" s="178" t="str">
        <f>VLOOKUP(C103,'Project Status'!C:K,9,FALSE)</f>
        <v>Financial Closeout</v>
      </c>
      <c r="G103" s="178" t="str">
        <f>VLOOKUP(C103,'Project Status'!C:L,10,FALSE)</f>
        <v>Ben Bedock</v>
      </c>
      <c r="H103" s="336"/>
      <c r="I103" s="197">
        <f>VLOOKUP(C103,'Project Status'!C:U,19,FALSE)</f>
        <v>36108.160000000003</v>
      </c>
      <c r="J103" s="212"/>
      <c r="K103" s="199">
        <f t="shared" ref="K103" si="20">SUM(I103:J103)</f>
        <v>36108.160000000003</v>
      </c>
      <c r="L103" s="219" t="s">
        <v>359</v>
      </c>
    </row>
    <row r="104" spans="1:13" s="170" customFormat="1" x14ac:dyDescent="0.4">
      <c r="A104" s="335"/>
      <c r="B104" s="166"/>
      <c r="C104" s="166"/>
      <c r="D104" s="172"/>
      <c r="E104" s="181"/>
      <c r="F104" s="172"/>
      <c r="G104" s="172"/>
      <c r="H104" s="336"/>
      <c r="I104" s="197"/>
      <c r="J104" s="212"/>
      <c r="K104" s="199"/>
      <c r="L104" s="219"/>
    </row>
    <row r="105" spans="1:13" x14ac:dyDescent="0.4">
      <c r="A105" s="335"/>
      <c r="C105" s="172">
        <v>20179</v>
      </c>
      <c r="D105" s="172" t="str">
        <f>VLOOKUP(C105,'Project Status'!C:H,6,FALSE)</f>
        <v>LAW SCHOOL</v>
      </c>
      <c r="E105" s="172" t="str">
        <f>VLOOKUP(C105,'Project Status'!C:I,7,FALSE)</f>
        <v>Law School - Fire Alarm System Replacement</v>
      </c>
      <c r="F105" s="172" t="str">
        <f>VLOOKUP(C105,'Project Status'!C:K,9,FALSE)</f>
        <v>Finalized</v>
      </c>
      <c r="G105" s="172" t="str">
        <f>VLOOKUP(C105,'Project Status'!C:L,10,FALSE)</f>
        <v>Bob Grummon</v>
      </c>
      <c r="H105" s="336"/>
      <c r="I105" s="201">
        <f>VLOOKUP(C105,'Project Status'!C:U,19,FALSE)</f>
        <v>-92965.86</v>
      </c>
      <c r="J105" s="220"/>
      <c r="K105" s="203">
        <f>SUM(I105:J105)</f>
        <v>-92965.86</v>
      </c>
      <c r="L105" s="221">
        <f>L75</f>
        <v>169023.08999999985</v>
      </c>
      <c r="M105" s="173"/>
    </row>
    <row r="106" spans="1:13" x14ac:dyDescent="0.4">
      <c r="A106" s="335"/>
      <c r="C106" s="172">
        <v>20924</v>
      </c>
      <c r="D106" s="172" t="str">
        <f>VLOOKUP(C106,'Project Status'!C:H,6,FALSE)</f>
        <v>FRIST HALL</v>
      </c>
      <c r="E106" s="172" t="str">
        <f>VLOOKUP(C106,'Project Status'!C:I,7,FALSE)</f>
        <v>Frist Hall - Stairwell Roof Replacement</v>
      </c>
      <c r="F106" s="172" t="str">
        <f>VLOOKUP(C106,'Project Status'!C:K,9,FALSE)</f>
        <v>Finalized</v>
      </c>
      <c r="G106" s="172" t="str">
        <f>VLOOKUP(C106,'Project Status'!C:L,10,FALSE)</f>
        <v>Ben Bedock</v>
      </c>
      <c r="H106" s="336"/>
      <c r="I106" s="201">
        <f>VLOOKUP(C106,'Project Status'!C:U,19,FALSE)</f>
        <v>-6070</v>
      </c>
      <c r="J106" s="220"/>
      <c r="K106" s="203">
        <f t="shared" ref="K106" si="21">SUM(I106:J106)</f>
        <v>-6070</v>
      </c>
      <c r="L106" s="222"/>
    </row>
    <row r="107" spans="1:13" x14ac:dyDescent="0.4">
      <c r="A107" s="335"/>
      <c r="E107" s="182"/>
      <c r="F107" s="182"/>
      <c r="G107" s="182"/>
      <c r="H107" s="336"/>
      <c r="K107" s="183"/>
      <c r="L107" s="223"/>
    </row>
    <row r="108" spans="1:13" x14ac:dyDescent="0.4">
      <c r="D108" s="183"/>
      <c r="G108" s="184"/>
      <c r="H108" s="336"/>
      <c r="I108" s="224">
        <f>SUM(I78:I107)</f>
        <v>10171078.440000001</v>
      </c>
      <c r="J108" s="224">
        <f>SUM(J78:J107)</f>
        <v>0</v>
      </c>
      <c r="K108" s="224">
        <f>SUM(K78:K107)</f>
        <v>10171078.440000001</v>
      </c>
      <c r="L108" s="224">
        <f>H78-K108+L105</f>
        <v>2855229.1122652441</v>
      </c>
    </row>
    <row r="109" spans="1:13" x14ac:dyDescent="0.4">
      <c r="D109" s="183"/>
      <c r="I109" s="225" t="b">
        <f>I108='JE LOG_FY25'!C21</f>
        <v>1</v>
      </c>
      <c r="L109" s="225"/>
    </row>
    <row r="110" spans="1:13" x14ac:dyDescent="0.4">
      <c r="A110" s="337" t="s">
        <v>311</v>
      </c>
      <c r="B110" s="185"/>
      <c r="C110" s="185" t="s">
        <v>426</v>
      </c>
      <c r="D110" s="185" t="s">
        <v>113</v>
      </c>
      <c r="E110" s="185" t="s">
        <v>87</v>
      </c>
      <c r="F110" s="185" t="s">
        <v>127</v>
      </c>
      <c r="G110" s="185" t="s">
        <v>128</v>
      </c>
      <c r="H110" s="226" t="s">
        <v>270</v>
      </c>
      <c r="I110" s="227" t="s">
        <v>236</v>
      </c>
      <c r="J110" s="227" t="s">
        <v>268</v>
      </c>
      <c r="K110" s="228" t="s">
        <v>267</v>
      </c>
      <c r="L110" s="228" t="s">
        <v>237</v>
      </c>
    </row>
    <row r="111" spans="1:13" x14ac:dyDescent="0.4">
      <c r="A111" s="337"/>
      <c r="B111" s="166">
        <v>1</v>
      </c>
      <c r="C111" s="176">
        <v>20489</v>
      </c>
      <c r="D111" s="176" t="str">
        <f>VLOOKUP(C111,'Project Status'!C:H,6,FALSE)</f>
        <v>DIVINITY</v>
      </c>
      <c r="E111" s="176" t="str">
        <f>VLOOKUP(C111,'Project Status'!C:I,7,FALSE)</f>
        <v>Divinity Air Handling Unit Replacement,(1/3) - Phase 2 with Benton - FY26</v>
      </c>
      <c r="F111" s="176" t="str">
        <f>VLOOKUP(C111,'Project Status'!C:K,9,FALSE)</f>
        <v>Construction</v>
      </c>
      <c r="G111" s="176" t="str">
        <f>VLOOKUP(C111,'Project Status'!C:L,10,FALSE)</f>
        <v>Jay Surprenant</v>
      </c>
      <c r="H111" s="338">
        <f>Contributions!O15</f>
        <v>13263819.65337811</v>
      </c>
      <c r="I111" s="182">
        <f>VLOOKUP(C111,'Project Status'!C:V,20,FALSE)</f>
        <v>2369000</v>
      </c>
      <c r="J111" s="229">
        <f>VLOOKUP(C111,'Project Status'!C:W,21,FALSE)</f>
        <v>0</v>
      </c>
      <c r="K111" s="199">
        <f t="shared" ref="K111:K118" si="22">IF(J111="TBD","TBD",I111+J111)</f>
        <v>2369000</v>
      </c>
      <c r="L111" s="230"/>
    </row>
    <row r="112" spans="1:13" x14ac:dyDescent="0.4">
      <c r="A112" s="337"/>
      <c r="B112" s="166">
        <f>B111+1</f>
        <v>2</v>
      </c>
      <c r="C112" s="178">
        <v>20925</v>
      </c>
      <c r="D112" s="178" t="str">
        <f>VLOOKUP(C112,'Project Status'!C:H,6,FALSE)</f>
        <v>BLAIR SCHOOL OF MUSIC</v>
      </c>
      <c r="E112" s="178" t="str">
        <f>VLOOKUP(C112,'Project Status'!C:I,7,FALSE)</f>
        <v>Blair School of Music - AHU 2/3 Replacement  - Phase 2 - FY26</v>
      </c>
      <c r="F112" s="178" t="str">
        <f>VLOOKUP(C112,'Project Status'!C:K,9,FALSE)</f>
        <v>Construction</v>
      </c>
      <c r="G112" s="178" t="str">
        <f>VLOOKUP(C112,'Project Status'!C:L,10,FALSE)</f>
        <v>Jay Surprenant</v>
      </c>
      <c r="H112" s="338"/>
      <c r="I112" s="182">
        <f>VLOOKUP(C112,'Project Status'!C:V,20,FALSE)</f>
        <v>1716000</v>
      </c>
      <c r="J112" s="229">
        <f>VLOOKUP(C112,'Project Status'!C:W,21,FALSE)</f>
        <v>0</v>
      </c>
      <c r="K112" s="199">
        <f t="shared" si="22"/>
        <v>1716000</v>
      </c>
      <c r="L112" s="230"/>
    </row>
    <row r="113" spans="1:14" s="168" customFormat="1" x14ac:dyDescent="0.4">
      <c r="A113" s="337"/>
      <c r="B113" s="172">
        <f t="shared" ref="B113:B130" si="23">B112+1</f>
        <v>3</v>
      </c>
      <c r="C113" s="178">
        <v>20962</v>
      </c>
      <c r="D113" s="178" t="str">
        <f>VLOOKUP(C113,'Project Status'!C:H,6,FALSE)</f>
        <v>VAUGHN HOME</v>
      </c>
      <c r="E113" s="178" t="str">
        <f>VLOOKUP(C113,'Project Status'!C:I,7,FALSE)</f>
        <v>Vaughn Home - Roof Replacement</v>
      </c>
      <c r="F113" s="178" t="str">
        <f>VLOOKUP(C113,'Project Status'!C:K,9,FALSE)</f>
        <v>Design</v>
      </c>
      <c r="G113" s="178" t="str">
        <f>VLOOKUP(C113,'Project Status'!C:L,10,FALSE)</f>
        <v>Ben Bedock</v>
      </c>
      <c r="H113" s="338"/>
      <c r="I113" s="197">
        <f>VLOOKUP(C113,'Project Status'!C:V,20,FALSE)</f>
        <v>0</v>
      </c>
      <c r="J113" s="214" t="str">
        <f>VLOOKUP(C113,'Project Status'!C:W,21,FALSE)</f>
        <v>TBD</v>
      </c>
      <c r="K113" s="217" t="str">
        <f t="shared" si="22"/>
        <v>TBD</v>
      </c>
      <c r="L113" s="231"/>
    </row>
    <row r="114" spans="1:14" s="168" customFormat="1" x14ac:dyDescent="0.4">
      <c r="A114" s="337"/>
      <c r="B114" s="166">
        <f t="shared" si="23"/>
        <v>4</v>
      </c>
      <c r="C114" s="178">
        <v>20979</v>
      </c>
      <c r="D114" s="178" t="str">
        <f>VLOOKUP(C114,'Project Status'!C:H,6,FALSE)</f>
        <v>1025 16TH AVE S</v>
      </c>
      <c r="E114" s="178" t="str">
        <f>VLOOKUP(C114,'Project Status'!C:I,7,FALSE)</f>
        <v>1025 16th Avenue - Roof Replacement</v>
      </c>
      <c r="F114" s="178" t="str">
        <f>VLOOKUP(C114,'Project Status'!C:K,9,FALSE)</f>
        <v>Construction</v>
      </c>
      <c r="G114" s="178" t="str">
        <f>VLOOKUP(C114,'Project Status'!C:L,10,FALSE)</f>
        <v>Ben Bedock</v>
      </c>
      <c r="H114" s="338"/>
      <c r="I114" s="197">
        <f>VLOOKUP(C114,'Project Status'!C:V,20,FALSE)</f>
        <v>51438</v>
      </c>
      <c r="J114" s="214">
        <f>VLOOKUP(C114,'Project Status'!C:W,21,FALSE)</f>
        <v>51438</v>
      </c>
      <c r="K114" s="217">
        <f t="shared" ref="K114" si="24">IF(J114="TBD","TBD",I114+J114)</f>
        <v>102876</v>
      </c>
      <c r="L114" s="231"/>
    </row>
    <row r="115" spans="1:14" s="168" customFormat="1" x14ac:dyDescent="0.4">
      <c r="A115" s="337"/>
      <c r="B115" s="172">
        <f t="shared" si="23"/>
        <v>5</v>
      </c>
      <c r="C115" s="178">
        <v>21006</v>
      </c>
      <c r="D115" s="178" t="str">
        <f>VLOOKUP(C115,'Project Status'!C:H,6,FALSE)</f>
        <v>SC SCIENCE &amp; ENGINEERING</v>
      </c>
      <c r="E115" s="178" t="str">
        <f>VLOOKUP(C115,'Project Status'!C:I,7,FALSE)</f>
        <v>SC5 - HVAC Upgrade Floors 3 and 6 (Phase 3)</v>
      </c>
      <c r="F115" s="178" t="str">
        <f>VLOOKUP(C115,'Project Status'!C:K,9,FALSE)</f>
        <v>Programming or Planning</v>
      </c>
      <c r="G115" s="178" t="str">
        <f>VLOOKUP(C115,'Project Status'!C:L,10,FALSE)</f>
        <v>Jay Surprenant</v>
      </c>
      <c r="H115" s="338"/>
      <c r="I115" s="197">
        <f>VLOOKUP(C115,'Project Status'!C:V,20,FALSE)</f>
        <v>0</v>
      </c>
      <c r="J115" s="214" t="str">
        <f>VLOOKUP(C115,'Project Status'!C:W,21,FALSE)</f>
        <v>TBD</v>
      </c>
      <c r="K115" s="217" t="str">
        <f t="shared" si="22"/>
        <v>TBD</v>
      </c>
      <c r="L115" s="231"/>
    </row>
    <row r="116" spans="1:14" s="168" customFormat="1" x14ac:dyDescent="0.4">
      <c r="A116" s="337"/>
      <c r="B116" s="166">
        <f t="shared" si="23"/>
        <v>6</v>
      </c>
      <c r="C116" s="178">
        <v>21051</v>
      </c>
      <c r="D116" s="178" t="str">
        <f>VLOOKUP(C116,'Project Status'!C:H,6,FALSE)</f>
        <v>MRB III BIO/SCI</v>
      </c>
      <c r="E116" s="178" t="str">
        <f>VLOOKUP(C116,'Project Status'!C:I,7,FALSE)</f>
        <v>MRBIII - 5th Floor Controls</v>
      </c>
      <c r="F116" s="178" t="str">
        <f>VLOOKUP(C116,'Project Status'!C:K,9,FALSE)</f>
        <v>Programming or Planning</v>
      </c>
      <c r="G116" s="178" t="str">
        <f>VLOOKUP(C116,'Project Status'!C:L,10,FALSE)</f>
        <v>Ben Bedock</v>
      </c>
      <c r="H116" s="338"/>
      <c r="I116" s="197">
        <f>VLOOKUP(C116,'Project Status'!C:V,20,FALSE)</f>
        <v>27500</v>
      </c>
      <c r="J116" s="214">
        <f>VLOOKUP(C116,'Project Status'!C:W,21,FALSE)</f>
        <v>1600000</v>
      </c>
      <c r="K116" s="217">
        <f t="shared" si="22"/>
        <v>1627500</v>
      </c>
      <c r="L116" s="231"/>
    </row>
    <row r="117" spans="1:14" s="168" customFormat="1" x14ac:dyDescent="0.4">
      <c r="A117" s="337"/>
      <c r="B117" s="172">
        <f t="shared" si="23"/>
        <v>7</v>
      </c>
      <c r="C117" s="178">
        <v>21067</v>
      </c>
      <c r="D117" s="178" t="str">
        <f>VLOOKUP(C117,'Project Status'!C:H,6,FALSE)</f>
        <v>GODCHAUX HALL</v>
      </c>
      <c r="E117" s="178" t="str">
        <f>VLOOKUP(C117,'Project Status'!C:I,7,FALSE)</f>
        <v>Godchaux Hall - Phase 2 HVAC Upgrades and Roof Replacement</v>
      </c>
      <c r="F117" s="178" t="str">
        <f>VLOOKUP(C117,'Project Status'!C:K,9,FALSE)</f>
        <v>Bidding</v>
      </c>
      <c r="G117" s="178" t="str">
        <f>VLOOKUP(C117,'Project Status'!C:L,10,FALSE)</f>
        <v>Sean Rewers</v>
      </c>
      <c r="H117" s="338"/>
      <c r="I117" s="197">
        <f>VLOOKUP(C117,'Project Status'!C:V,20,FALSE)</f>
        <v>0</v>
      </c>
      <c r="J117" s="214">
        <f>VLOOKUP(C117,'Project Status'!C:W,21,FALSE)</f>
        <v>2100000</v>
      </c>
      <c r="K117" s="217">
        <f t="shared" si="22"/>
        <v>2100000</v>
      </c>
      <c r="L117" s="231"/>
    </row>
    <row r="118" spans="1:14" s="168" customFormat="1" x14ac:dyDescent="0.4">
      <c r="A118" s="337"/>
      <c r="B118" s="166">
        <f t="shared" si="23"/>
        <v>8</v>
      </c>
      <c r="C118" s="178">
        <v>21127</v>
      </c>
      <c r="D118" s="178" t="str">
        <f>VLOOKUP(C118,'Project Status'!C:H,6,FALSE)</f>
        <v>MRB III BIO/SCI</v>
      </c>
      <c r="E118" s="178" t="str">
        <f>VLOOKUP(C118,'Project Status'!C:I,7,FALSE)</f>
        <v>MRBIII - Cooling Tower Overhaul</v>
      </c>
      <c r="F118" s="178" t="str">
        <f>VLOOKUP(C118,'Project Status'!C:K,9,FALSE)</f>
        <v>Construction</v>
      </c>
      <c r="G118" s="178" t="str">
        <f>VLOOKUP(C118,'Project Status'!C:L,10,FALSE)</f>
        <v>Jay Surprenant</v>
      </c>
      <c r="H118" s="338"/>
      <c r="I118" s="197">
        <f>VLOOKUP(C118,'Project Status'!C:V,20,FALSE)</f>
        <v>449020</v>
      </c>
      <c r="J118" s="214">
        <f>VLOOKUP(C118,'Project Status'!C:W,21,FALSE)</f>
        <v>0</v>
      </c>
      <c r="K118" s="217">
        <f t="shared" si="22"/>
        <v>449020</v>
      </c>
      <c r="L118" s="231"/>
    </row>
    <row r="119" spans="1:14" s="168" customFormat="1" x14ac:dyDescent="0.4">
      <c r="A119" s="337"/>
      <c r="B119" s="172">
        <f t="shared" si="23"/>
        <v>9</v>
      </c>
      <c r="C119" s="178">
        <v>21155</v>
      </c>
      <c r="D119" s="178" t="str">
        <f>VLOOKUP(C119,'Project Status'!C:H,6,FALSE)</f>
        <v>SC MOLEC BIOLOGY</v>
      </c>
      <c r="E119" s="178" t="str">
        <f>VLOOKUP(C119,'Project Status'!C:I,7,FALSE)</f>
        <v>SC2 Restroom Upgrades</v>
      </c>
      <c r="F119" s="178" t="str">
        <f>VLOOKUP(C119,'Project Status'!C:K,9,FALSE)</f>
        <v>Programming or Planning</v>
      </c>
      <c r="G119" s="178" t="str">
        <f>VLOOKUP(C119,'Project Status'!C:L,10,FALSE)</f>
        <v>Daniel Capparella</v>
      </c>
      <c r="H119" s="338"/>
      <c r="I119" s="197">
        <f>VLOOKUP(C119,'Project Status'!C:V,20,FALSE)</f>
        <v>0</v>
      </c>
      <c r="J119" s="214">
        <f>VLOOKUP(C119,'Project Status'!C:W,21,FALSE)</f>
        <v>750000</v>
      </c>
      <c r="K119" s="217">
        <f t="shared" ref="K119" si="25">IF(J119="TBD","TBD",I119+J119)</f>
        <v>750000</v>
      </c>
      <c r="L119" s="231"/>
    </row>
    <row r="120" spans="1:14" s="168" customFormat="1" x14ac:dyDescent="0.4">
      <c r="A120" s="337"/>
      <c r="B120" s="166">
        <f t="shared" si="23"/>
        <v>10</v>
      </c>
      <c r="C120" s="178">
        <v>21156</v>
      </c>
      <c r="D120" s="178" t="str">
        <f>VLOOKUP(C120,'Project Status'!C:H,6,FALSE)</f>
        <v>OLIN HALL</v>
      </c>
      <c r="E120" s="178" t="str">
        <f>VLOOKUP(C120,'Project Status'!C:I,7,FALSE)</f>
        <v>Olin Hall 2nd Floor Chiller</v>
      </c>
      <c r="F120" s="178" t="str">
        <f>VLOOKUP(C120,'Project Status'!C:K,9,FALSE)</f>
        <v>Construction</v>
      </c>
      <c r="G120" s="178" t="str">
        <f>VLOOKUP(C120,'Project Status'!C:L,10,FALSE)</f>
        <v>Nickolaus Corniea</v>
      </c>
      <c r="H120" s="338"/>
      <c r="I120" s="197">
        <f>VLOOKUP(C120,'Project Status'!C:V,20,FALSE)</f>
        <v>386000</v>
      </c>
      <c r="J120" s="214">
        <f>VLOOKUP(C120,'Project Status'!C:W,21,FALSE)</f>
        <v>340000</v>
      </c>
      <c r="K120" s="217">
        <f t="shared" ref="K120" si="26">IF(J120="TBD","TBD",I120+J120)</f>
        <v>726000</v>
      </c>
      <c r="L120" s="231"/>
    </row>
    <row r="121" spans="1:14" s="168" customFormat="1" x14ac:dyDescent="0.4">
      <c r="A121" s="337"/>
      <c r="B121" s="172">
        <f t="shared" si="23"/>
        <v>11</v>
      </c>
      <c r="C121" s="178">
        <v>21157</v>
      </c>
      <c r="D121" s="178" t="str">
        <f>VLOOKUP(C121,'Project Status'!C:H,6,FALSE)</f>
        <v>COHEN MEMORIAL</v>
      </c>
      <c r="E121" s="178" t="str">
        <f>VLOOKUP(C121,'Project Status'!C:I,7,FALSE)</f>
        <v>Cohen Memorial - Water Intrusion Repair</v>
      </c>
      <c r="F121" s="178" t="str">
        <f>VLOOKUP(C121,'Project Status'!C:K,9,FALSE)</f>
        <v>Design</v>
      </c>
      <c r="G121" s="178" t="str">
        <f>VLOOKUP(C121,'Project Status'!C:L,10,FALSE)</f>
        <v>Jay Surprenant</v>
      </c>
      <c r="H121" s="338"/>
      <c r="I121" s="197">
        <f>VLOOKUP(C121,'Project Status'!C:V,20,FALSE)</f>
        <v>0</v>
      </c>
      <c r="J121" s="214">
        <f>VLOOKUP(C121,'Project Status'!C:W,21,FALSE)</f>
        <v>25000</v>
      </c>
      <c r="K121" s="217">
        <f t="shared" ref="K121" si="27">IF(J121="TBD","TBD",I121+J121)</f>
        <v>25000</v>
      </c>
      <c r="L121" s="231"/>
    </row>
    <row r="122" spans="1:14" s="168" customFormat="1" x14ac:dyDescent="0.4">
      <c r="A122" s="337"/>
      <c r="B122" s="166">
        <f t="shared" si="23"/>
        <v>12</v>
      </c>
      <c r="C122" s="178">
        <v>21165</v>
      </c>
      <c r="D122" s="178" t="str">
        <f>VLOOKUP(C122,'Project Status'!C:H,6,FALSE)</f>
        <v>WYATT CENTER</v>
      </c>
      <c r="E122" s="178" t="str">
        <f>VLOOKUP(C122,'Project Status'!C:I,7,FALSE)</f>
        <v>Wyatt Center Rotunda Repairs</v>
      </c>
      <c r="F122" s="178" t="str">
        <f>VLOOKUP(C122,'Project Status'!C:K,9,FALSE)</f>
        <v>Programming or Planning</v>
      </c>
      <c r="G122" s="178" t="str">
        <f>VLOOKUP(C122,'Project Status'!C:L,10,FALSE)</f>
        <v>Ben Bedock</v>
      </c>
      <c r="H122" s="338"/>
      <c r="I122" s="197">
        <f>VLOOKUP(C122,'Project Status'!C:V,20,FALSE)</f>
        <v>0</v>
      </c>
      <c r="J122" s="214" t="str">
        <f>VLOOKUP(C122,'Project Status'!C:W,21,FALSE)</f>
        <v>TBD</v>
      </c>
      <c r="K122" s="217" t="str">
        <f t="shared" ref="K122:K129" si="28">IF(J122="TBD","TBD",I122+J122)</f>
        <v>TBD</v>
      </c>
      <c r="L122" s="231"/>
    </row>
    <row r="123" spans="1:14" s="168" customFormat="1" x14ac:dyDescent="0.4">
      <c r="A123" s="337"/>
      <c r="B123" s="172">
        <f t="shared" si="23"/>
        <v>13</v>
      </c>
      <c r="C123" s="178">
        <v>21173</v>
      </c>
      <c r="D123" s="178" t="str">
        <f>VLOOKUP(C123,'Project Status'!C:H,6,FALSE)</f>
        <v>17TH &amp; HORTON</v>
      </c>
      <c r="E123" s="178" t="str">
        <f>VLOOKUP(C123,'Project Status'!C:I,7,FALSE)</f>
        <v>17th &amp; Horton Elevators Modernization</v>
      </c>
      <c r="F123" s="178" t="str">
        <f>VLOOKUP(C123,'Project Status'!C:K,9,FALSE)</f>
        <v>Programming or Planning</v>
      </c>
      <c r="G123" s="178" t="str">
        <f>VLOOKUP(C123,'Project Status'!C:L,10,FALSE)</f>
        <v>Ben Bedock</v>
      </c>
      <c r="H123" s="338"/>
      <c r="I123" s="197">
        <f>VLOOKUP(C123,'Project Status'!C:V,20,FALSE)</f>
        <v>25550</v>
      </c>
      <c r="J123" s="214">
        <f>VLOOKUP(C123,'Project Status'!C:W,21,FALSE)</f>
        <v>25550</v>
      </c>
      <c r="K123" s="217">
        <f t="shared" si="28"/>
        <v>51100</v>
      </c>
      <c r="L123" s="231"/>
    </row>
    <row r="124" spans="1:14" s="168" customFormat="1" x14ac:dyDescent="0.4">
      <c r="A124" s="337"/>
      <c r="B124" s="166">
        <f t="shared" si="23"/>
        <v>14</v>
      </c>
      <c r="C124" s="178">
        <v>21174</v>
      </c>
      <c r="D124" s="178" t="str">
        <f>VLOOKUP(C124,'Project Status'!C:H,6,FALSE)</f>
        <v>BUTTRICK HALL</v>
      </c>
      <c r="E124" s="178" t="str">
        <f>VLOOKUP(C124,'Project Status'!C:I,7,FALSE)</f>
        <v>Buttrick Hall - Restore / Replace Exterior Wood Doors and Closures</v>
      </c>
      <c r="F124" s="178" t="str">
        <f>VLOOKUP(C124,'Project Status'!C:K,9,FALSE)</f>
        <v>Not Started</v>
      </c>
      <c r="G124" s="178" t="str">
        <f>VLOOKUP(C124,'Project Status'!C:L,10,FALSE)</f>
        <v>Erin Fry</v>
      </c>
      <c r="H124" s="338"/>
      <c r="I124" s="197">
        <f>VLOOKUP(C124,'Project Status'!C:V,20,FALSE)</f>
        <v>0</v>
      </c>
      <c r="J124" s="214" t="str">
        <f>VLOOKUP(C124,'Project Status'!C:W,21,FALSE)</f>
        <v>TBD</v>
      </c>
      <c r="K124" s="217" t="str">
        <f t="shared" si="28"/>
        <v>TBD</v>
      </c>
      <c r="L124" s="231"/>
    </row>
    <row r="125" spans="1:14" s="168" customFormat="1" x14ac:dyDescent="0.4">
      <c r="A125" s="337"/>
      <c r="B125" s="172">
        <f t="shared" si="23"/>
        <v>15</v>
      </c>
      <c r="C125" s="178">
        <v>21175</v>
      </c>
      <c r="D125" s="178" t="str">
        <f>VLOOKUP(C125,'Project Status'!C:H,6,FALSE)</f>
        <v>LAW SCHOOL</v>
      </c>
      <c r="E125" s="178" t="str">
        <f>VLOOKUP(C125,'Project Status'!C:I,7,FALSE)</f>
        <v>Law School Partial Roof Replacement</v>
      </c>
      <c r="F125" s="178" t="str">
        <f>VLOOKUP(C125,'Project Status'!C:K,9,FALSE)</f>
        <v>Programming or Planning</v>
      </c>
      <c r="G125" s="178" t="str">
        <f>VLOOKUP(C125,'Project Status'!C:L,10,FALSE)</f>
        <v>Ben Bedock</v>
      </c>
      <c r="H125" s="338"/>
      <c r="I125" s="197">
        <f>VLOOKUP(C125,'Project Status'!C:V,20,FALSE)</f>
        <v>0</v>
      </c>
      <c r="J125" s="214" t="str">
        <f>VLOOKUP(C125,'Project Status'!C:W,21,FALSE)</f>
        <v>TBD</v>
      </c>
      <c r="K125" s="217" t="str">
        <f t="shared" si="28"/>
        <v>TBD</v>
      </c>
      <c r="L125" s="231"/>
    </row>
    <row r="126" spans="1:14" s="168" customFormat="1" x14ac:dyDescent="0.4">
      <c r="A126" s="337"/>
      <c r="B126" s="166">
        <f t="shared" si="23"/>
        <v>16</v>
      </c>
      <c r="C126" s="178">
        <v>21176</v>
      </c>
      <c r="D126" s="178" t="str">
        <f>VLOOKUP(C126,'Project Status'!C:H,6,FALSE)</f>
        <v>LAW SCHOOL</v>
      </c>
      <c r="E126" s="178" t="str">
        <f>VLOOKUP(C126,'Project Status'!C:I,7,FALSE)</f>
        <v>Law School Walkway Replacement</v>
      </c>
      <c r="F126" s="178" t="str">
        <f>VLOOKUP(C126,'Project Status'!C:K,9,FALSE)</f>
        <v>Design</v>
      </c>
      <c r="G126" s="178" t="str">
        <f>VLOOKUP(C126,'Project Status'!C:L,10,FALSE)</f>
        <v>James Moore</v>
      </c>
      <c r="H126" s="338"/>
      <c r="I126" s="197">
        <f>VLOOKUP(C126,'Project Status'!C:V,20,FALSE)</f>
        <v>0</v>
      </c>
      <c r="J126" s="214">
        <f>VLOOKUP(C126,'Project Status'!C:W,21,FALSE)</f>
        <v>160000</v>
      </c>
      <c r="K126" s="217">
        <f t="shared" si="28"/>
        <v>160000</v>
      </c>
      <c r="L126" s="231"/>
    </row>
    <row r="127" spans="1:14" s="168" customFormat="1" x14ac:dyDescent="0.4">
      <c r="A127" s="337"/>
      <c r="B127" s="172">
        <f t="shared" si="23"/>
        <v>17</v>
      </c>
      <c r="C127" s="178">
        <v>21178</v>
      </c>
      <c r="D127" s="178" t="str">
        <f>VLOOKUP(C127,'Project Status'!C:H,6,FALSE)</f>
        <v>LAW SCHOOL</v>
      </c>
      <c r="E127" s="178" t="str">
        <f>VLOOKUP(C127,'Project Status'!C:I,7,FALSE)</f>
        <v>Law School - Air Compressor Replacement #6</v>
      </c>
      <c r="F127" s="178" t="str">
        <f>VLOOKUP(C127,'Project Status'!C:K,9,FALSE)</f>
        <v>Construction</v>
      </c>
      <c r="G127" s="178" t="str">
        <f>VLOOKUP(C127,'Project Status'!C:L,10,FALSE)</f>
        <v>Kylie Mignoli</v>
      </c>
      <c r="H127" s="338"/>
      <c r="I127" s="197">
        <f>VLOOKUP(C127,'Project Status'!C:V,20,FALSE)</f>
        <v>75000</v>
      </c>
      <c r="J127" s="214">
        <f>VLOOKUP(C127,'Project Status'!C:W,21,FALSE)</f>
        <v>75000</v>
      </c>
      <c r="K127" s="217">
        <f t="shared" si="28"/>
        <v>150000</v>
      </c>
      <c r="L127" s="231"/>
      <c r="N127" s="174"/>
    </row>
    <row r="128" spans="1:14" s="168" customFormat="1" x14ac:dyDescent="0.4">
      <c r="A128" s="337"/>
      <c r="B128" s="166">
        <f t="shared" si="23"/>
        <v>18</v>
      </c>
      <c r="C128" s="178">
        <v>21189</v>
      </c>
      <c r="D128" s="178" t="str">
        <f>VLOOKUP(C128,'Project Status'!C:H,6,FALSE)</f>
        <v>BLAIR SCHOOL OF MUSIC</v>
      </c>
      <c r="E128" s="178" t="str">
        <f>VLOOKUP(C128,'Project Status'!C:I,7,FALSE)</f>
        <v>Blair School Legacy VAV Replacement and Duct Encapsulation</v>
      </c>
      <c r="F128" s="178" t="str">
        <f>VLOOKUP(C128,'Project Status'!C:K,9,FALSE)</f>
        <v>Programming or Planning</v>
      </c>
      <c r="G128" s="178" t="str">
        <f>VLOOKUP(C128,'Project Status'!C:L,10,FALSE)</f>
        <v>Ben Bedock</v>
      </c>
      <c r="H128" s="338"/>
      <c r="I128" s="197">
        <f>VLOOKUP(C128,'Project Status'!C:V,20,FALSE)</f>
        <v>0</v>
      </c>
      <c r="J128" s="214">
        <f>VLOOKUP(C128,'Project Status'!C:W,21,FALSE)</f>
        <v>800000</v>
      </c>
      <c r="K128" s="217">
        <f t="shared" si="28"/>
        <v>800000</v>
      </c>
      <c r="L128" s="231"/>
    </row>
    <row r="129" spans="1:12" x14ac:dyDescent="0.4">
      <c r="A129" s="337"/>
      <c r="B129" s="172">
        <f t="shared" si="23"/>
        <v>19</v>
      </c>
      <c r="C129" s="178">
        <v>21198</v>
      </c>
      <c r="D129" s="178" t="str">
        <f>VLOOKUP(C129,'Project Status'!C:H,6,FALSE)</f>
        <v>SC CHEMISTRY</v>
      </c>
      <c r="E129" s="178" t="str">
        <f>VLOOKUP(C129,'Project Status'!C:I,7,FALSE)</f>
        <v>SC7 - AHUs Replacement</v>
      </c>
      <c r="F129" s="178" t="str">
        <f>VLOOKUP(C129,'Project Status'!C:K,9,FALSE)</f>
        <v>Programming or Planning</v>
      </c>
      <c r="G129" s="178" t="str">
        <f>VLOOKUP(C129,'Project Status'!C:L,10,FALSE)</f>
        <v>Sean Rewers</v>
      </c>
      <c r="H129" s="338"/>
      <c r="I129" s="197">
        <f>VLOOKUP(C129,'Project Status'!C:V,20,FALSE)</f>
        <v>0</v>
      </c>
      <c r="J129" s="212" t="str">
        <f>VLOOKUP(C129,'Project Status'!C:W,21,FALSE)</f>
        <v>TBD</v>
      </c>
      <c r="K129" s="217" t="str">
        <f t="shared" si="28"/>
        <v>TBD</v>
      </c>
      <c r="L129" s="230"/>
    </row>
    <row r="130" spans="1:12" x14ac:dyDescent="0.4">
      <c r="A130" s="337"/>
      <c r="B130" s="172">
        <f t="shared" si="23"/>
        <v>20</v>
      </c>
      <c r="C130" s="176">
        <v>21177</v>
      </c>
      <c r="D130" s="178" t="str">
        <f>VLOOKUP(C130,'Project Status'!C:H,6,FALSE)</f>
        <v>SC MOLEC BIOLOGY</v>
      </c>
      <c r="E130" s="178" t="str">
        <f>VLOOKUP(C130,'Project Status'!C:I,7,FALSE)</f>
        <v>SC2 Molecular Biology HVAC Replacement</v>
      </c>
      <c r="F130" s="178" t="str">
        <f>VLOOKUP(C130,'Project Status'!C:K,9,FALSE)</f>
        <v>Not Started</v>
      </c>
      <c r="G130" s="178" t="str">
        <f>VLOOKUP(C130,'Project Status'!C:L,10,FALSE)</f>
        <v>Daniel Capparella</v>
      </c>
      <c r="H130" s="338"/>
      <c r="I130" s="197">
        <f>VLOOKUP(C130,'Project Status'!C:V,20,FALSE)</f>
        <v>0</v>
      </c>
      <c r="J130" s="212" t="str">
        <f>VLOOKUP(C130,'Project Status'!C:W,21,FALSE)</f>
        <v>TBD</v>
      </c>
      <c r="K130" s="217" t="str">
        <f t="shared" ref="K130" si="29">IF(J130="TBD","TBD",I130+J130)</f>
        <v>TBD</v>
      </c>
      <c r="L130" s="230"/>
    </row>
    <row r="131" spans="1:12" x14ac:dyDescent="0.4">
      <c r="A131" s="337"/>
      <c r="C131" s="186"/>
      <c r="D131" s="186"/>
      <c r="E131" s="186"/>
      <c r="H131" s="338"/>
      <c r="J131" s="232"/>
      <c r="K131" s="183"/>
      <c r="L131" s="233" t="s">
        <v>358</v>
      </c>
    </row>
    <row r="132" spans="1:12" x14ac:dyDescent="0.4">
      <c r="A132" s="337"/>
      <c r="C132" s="166">
        <v>10146</v>
      </c>
      <c r="D132" s="166" t="str">
        <f>VLOOKUP(C132,'Project Status'!C:H,6,FALSE)</f>
        <v>GODCHAUX HALL</v>
      </c>
      <c r="E132" s="166" t="str">
        <f>VLOOKUP(C132,'Project Status'!C:I,7,FALSE)</f>
        <v>Godchaux Hall - HVAC Upgrade</v>
      </c>
      <c r="F132" s="166" t="str">
        <f>VLOOKUP(C132,'Project Status'!C:K,9,FALSE)</f>
        <v>Finalized</v>
      </c>
      <c r="G132" s="166" t="str">
        <f>VLOOKUP(C132,'Project Status'!C:L,10,FALSE)</f>
        <v>Sean Rewers</v>
      </c>
      <c r="H132" s="338"/>
      <c r="I132" s="234">
        <f>VLOOKUP(C132,'Project Status'!C:V,20,FALSE)</f>
        <v>-64230.19</v>
      </c>
      <c r="J132" s="202">
        <f>VLOOKUP(C132,'Project Status'!C:W,21,FALSE)</f>
        <v>0</v>
      </c>
      <c r="K132" s="235">
        <f>SUM(I132:J132)</f>
        <v>-64230.19</v>
      </c>
      <c r="L132" s="233" t="s">
        <v>359</v>
      </c>
    </row>
    <row r="133" spans="1:12" x14ac:dyDescent="0.4">
      <c r="A133" s="337"/>
      <c r="C133" s="166">
        <v>20698</v>
      </c>
      <c r="D133" s="166" t="str">
        <f>VLOOKUP(C133,'Project Status'!C:H,6,FALSE)</f>
        <v>WILSON HALL</v>
      </c>
      <c r="E133" s="166" t="str">
        <f>VLOOKUP(C133,'Project Status'!C:I,7,FALSE)</f>
        <v>Wilson Hall - Fire Alarm Replacement</v>
      </c>
      <c r="F133" s="166" t="str">
        <f>VLOOKUP(C133,'Project Status'!C:K,9,FALSE)</f>
        <v>Finalized</v>
      </c>
      <c r="G133" s="166" t="str">
        <f>VLOOKUP(C133,'Project Status'!C:L,10,FALSE)</f>
        <v>Sean Rewers</v>
      </c>
      <c r="H133" s="338"/>
      <c r="I133" s="234">
        <f>VLOOKUP(C133,'Project Status'!C:V,20,FALSE)</f>
        <v>-91736.639999999999</v>
      </c>
      <c r="J133" s="202">
        <f>VLOOKUP(C133,'Project Status'!C:W,21,FALSE)</f>
        <v>0</v>
      </c>
      <c r="K133" s="235">
        <f t="shared" ref="K133:K136" si="30">SUM(I133:J133)</f>
        <v>-91736.639999999999</v>
      </c>
      <c r="L133" s="233"/>
    </row>
    <row r="134" spans="1:12" x14ac:dyDescent="0.4">
      <c r="A134" s="337"/>
      <c r="C134" s="166">
        <v>20772</v>
      </c>
      <c r="D134" s="166" t="str">
        <f>VLOOKUP(C134,'Project Status'!C:H,6,FALSE)</f>
        <v>OWEN GRAD MGMT</v>
      </c>
      <c r="E134" s="166" t="str">
        <f>VLOOKUP(C134,'Project Status'!C:I,7,FALSE)</f>
        <v>OGSM Old Mechanical- Slate Roof &amp; Window Replacement</v>
      </c>
      <c r="F134" s="166" t="str">
        <f>VLOOKUP(C134,'Project Status'!C:K,9,FALSE)</f>
        <v>Finalized</v>
      </c>
      <c r="G134" s="166" t="str">
        <f>VLOOKUP(C134,'Project Status'!C:L,10,FALSE)</f>
        <v>Ben Bedock</v>
      </c>
      <c r="H134" s="338"/>
      <c r="I134" s="234">
        <f>VLOOKUP(C134,'Project Status'!C:V,20,FALSE)</f>
        <v>-222611.86</v>
      </c>
      <c r="J134" s="202">
        <f>VLOOKUP(C134,'Project Status'!C:W,21,FALSE)</f>
        <v>0</v>
      </c>
      <c r="K134" s="235">
        <f t="shared" si="30"/>
        <v>-222611.86</v>
      </c>
      <c r="L134" s="236">
        <f>L108</f>
        <v>2855229.1122652441</v>
      </c>
    </row>
    <row r="135" spans="1:12" x14ac:dyDescent="0.4">
      <c r="A135" s="337"/>
      <c r="C135" s="166">
        <v>20884</v>
      </c>
      <c r="D135" s="166" t="str">
        <f>VLOOKUP(C135,'Project Status'!C:H,6,FALSE)</f>
        <v>LAW SCHOOL</v>
      </c>
      <c r="E135" s="166" t="str">
        <f>VLOOKUP(C135,'Project Status'!C:I,7,FALSE)</f>
        <v>Law School - Exterior Window Painting</v>
      </c>
      <c r="F135" s="166" t="str">
        <f>VLOOKUP(C135,'Project Status'!C:K,9,FALSE)</f>
        <v>Finalized</v>
      </c>
      <c r="G135" s="166" t="str">
        <f>VLOOKUP(C135,'Project Status'!C:L,10,FALSE)</f>
        <v>Ben Bedock</v>
      </c>
      <c r="H135" s="338"/>
      <c r="I135" s="234">
        <f>VLOOKUP(C135,'Project Status'!C:V,20,FALSE)</f>
        <v>-195332</v>
      </c>
      <c r="J135" s="202">
        <f>VLOOKUP(C135,'Project Status'!C:W,21,FALSE)</f>
        <v>0</v>
      </c>
      <c r="K135" s="235">
        <f t="shared" si="30"/>
        <v>-195332</v>
      </c>
      <c r="L135" s="233"/>
    </row>
    <row r="136" spans="1:12" x14ac:dyDescent="0.4">
      <c r="A136" s="337"/>
      <c r="C136" s="166">
        <v>20911</v>
      </c>
      <c r="D136" s="166" t="str">
        <f>VLOOKUP(C136,'Project Status'!C:H,6,FALSE)</f>
        <v>BUTTRICK HALL</v>
      </c>
      <c r="E136" s="166" t="str">
        <f>VLOOKUP(C136,'Project Status'!C:I,7,FALSE)</f>
        <v>Buttrick Hall - Elevator Upgrades</v>
      </c>
      <c r="F136" s="166" t="str">
        <f>VLOOKUP(C136,'Project Status'!C:K,9,FALSE)</f>
        <v>Finalized</v>
      </c>
      <c r="G136" s="166" t="str">
        <f>VLOOKUP(C136,'Project Status'!C:L,10,FALSE)</f>
        <v>Ben Bedock</v>
      </c>
      <c r="H136" s="338"/>
      <c r="I136" s="234">
        <f>VLOOKUP(C136,'Project Status'!C:V,20,FALSE)</f>
        <v>-6432</v>
      </c>
      <c r="J136" s="202">
        <f>VLOOKUP(C136,'Project Status'!C:W,21,FALSE)</f>
        <v>0</v>
      </c>
      <c r="K136" s="235">
        <f t="shared" si="30"/>
        <v>-6432</v>
      </c>
      <c r="L136" s="237"/>
    </row>
    <row r="137" spans="1:12" x14ac:dyDescent="0.4">
      <c r="A137" s="337"/>
      <c r="H137" s="338"/>
      <c r="K137" s="183"/>
      <c r="L137" s="237"/>
    </row>
    <row r="138" spans="1:12" x14ac:dyDescent="0.4">
      <c r="A138" s="337"/>
      <c r="H138" s="338"/>
      <c r="K138" s="183"/>
      <c r="L138" s="230"/>
    </row>
    <row r="139" spans="1:12" x14ac:dyDescent="0.4">
      <c r="A139" s="337"/>
      <c r="H139" s="338"/>
      <c r="K139" s="183"/>
      <c r="L139" s="230"/>
    </row>
    <row r="140" spans="1:12" x14ac:dyDescent="0.4">
      <c r="H140" s="338"/>
      <c r="I140" s="238">
        <f>SUM(I111:I139)</f>
        <v>4519165.3099999996</v>
      </c>
      <c r="J140" s="238">
        <f>SUM(J111:J139)</f>
        <v>5926988</v>
      </c>
      <c r="K140" s="238">
        <f>SUM(K111:K139)</f>
        <v>10446153.310000001</v>
      </c>
      <c r="L140" s="238">
        <f>H111-K140+L134</f>
        <v>5672895.455643354</v>
      </c>
    </row>
    <row r="142" spans="1:12" x14ac:dyDescent="0.4">
      <c r="A142" s="331" t="s">
        <v>466</v>
      </c>
      <c r="B142" s="175"/>
      <c r="C142" s="175" t="s">
        <v>426</v>
      </c>
      <c r="D142" s="175" t="s">
        <v>113</v>
      </c>
      <c r="E142" s="175" t="s">
        <v>87</v>
      </c>
      <c r="F142" s="175" t="s">
        <v>127</v>
      </c>
      <c r="G142" s="175" t="s">
        <v>128</v>
      </c>
      <c r="H142" s="188" t="s">
        <v>270</v>
      </c>
      <c r="I142" s="189" t="s">
        <v>236</v>
      </c>
      <c r="J142" s="189" t="s">
        <v>268</v>
      </c>
      <c r="K142" s="190" t="s">
        <v>267</v>
      </c>
      <c r="L142" s="190" t="s">
        <v>237</v>
      </c>
    </row>
    <row r="143" spans="1:12" x14ac:dyDescent="0.4">
      <c r="A143" s="331"/>
      <c r="B143" s="166">
        <v>1</v>
      </c>
      <c r="C143" s="176">
        <v>20563</v>
      </c>
      <c r="D143" s="176" t="str">
        <f>VLOOKUP(C143,'Project Status'!C:H,6,FALSE)</f>
        <v>KECK FREE ELECTRON LASER CTR</v>
      </c>
      <c r="E143" s="176" t="str">
        <f>VLOOKUP(C143,'Project Status'!C:I,7,FALSE)</f>
        <v>Keck FEL - Roof Replacement</v>
      </c>
      <c r="F143" s="176" t="str">
        <f>VLOOKUP(C143,'Project Status'!C:K,9,FALSE)</f>
        <v>Not Started</v>
      </c>
      <c r="G143" s="176" t="str">
        <f>VLOOKUP(C143,'Project Status'!C:L,10,FALSE)</f>
        <v>Ben Bedock</v>
      </c>
      <c r="H143" s="332"/>
      <c r="K143" s="183"/>
      <c r="L143" s="191"/>
    </row>
    <row r="144" spans="1:12" x14ac:dyDescent="0.4">
      <c r="A144" s="331"/>
      <c r="B144" s="166">
        <f>B143+1</f>
        <v>2</v>
      </c>
      <c r="C144" s="176">
        <v>20668</v>
      </c>
      <c r="D144" s="176" t="str">
        <f>VLOOKUP(C144,'Project Status'!C:H,6,FALSE)</f>
        <v>KECK FREE ELECTRON LASER CTR</v>
      </c>
      <c r="E144" s="176" t="str">
        <f>VLOOKUP(C144,'Project Status'!C:I,7,FALSE)</f>
        <v>Keck FEL - Mechanical Upgrades</v>
      </c>
      <c r="F144" s="176" t="str">
        <f>VLOOKUP(C144,'Project Status'!C:K,9,FALSE)</f>
        <v>Design</v>
      </c>
      <c r="G144" s="176" t="str">
        <f>VLOOKUP(C144,'Project Status'!C:L,10,FALSE)</f>
        <v>Sean Rewers</v>
      </c>
      <c r="H144" s="332"/>
      <c r="J144" s="182">
        <v>3960000</v>
      </c>
      <c r="K144" s="183"/>
      <c r="L144" s="191"/>
    </row>
    <row r="145" spans="1:12" x14ac:dyDescent="0.4">
      <c r="A145" s="331"/>
      <c r="B145" s="166">
        <f>B144+1</f>
        <v>3</v>
      </c>
      <c r="C145" s="176">
        <v>21177</v>
      </c>
      <c r="D145" s="176" t="str">
        <f>VLOOKUP(C145,'Project Status'!C:H,6,FALSE)</f>
        <v>SC MOLEC BIOLOGY</v>
      </c>
      <c r="E145" s="176" t="str">
        <f>VLOOKUP(C145,'Project Status'!C:I,7,FALSE)</f>
        <v>SC2 Molecular Biology HVAC Replacement</v>
      </c>
      <c r="F145" s="176" t="str">
        <f>VLOOKUP(C145,'Project Status'!C:K,9,FALSE)</f>
        <v>Not Started</v>
      </c>
      <c r="G145" s="176" t="str">
        <f>VLOOKUP(C145,'Project Status'!C:L,10,FALSE)</f>
        <v>Daniel Capparella</v>
      </c>
      <c r="H145" s="332"/>
      <c r="K145" s="183"/>
      <c r="L145" s="191"/>
    </row>
    <row r="146" spans="1:12" x14ac:dyDescent="0.4">
      <c r="A146" s="331"/>
      <c r="B146" s="166"/>
      <c r="H146" s="332"/>
      <c r="K146" s="183"/>
      <c r="L146" s="191"/>
    </row>
    <row r="147" spans="1:12" x14ac:dyDescent="0.4">
      <c r="A147" s="331"/>
      <c r="B147" s="166"/>
      <c r="H147" s="332"/>
      <c r="K147" s="183"/>
      <c r="L147" s="191"/>
    </row>
    <row r="148" spans="1:12" x14ac:dyDescent="0.4">
      <c r="A148" s="331"/>
      <c r="B148" s="166"/>
      <c r="H148" s="332"/>
      <c r="K148" s="183"/>
      <c r="L148" s="191"/>
    </row>
    <row r="149" spans="1:12" x14ac:dyDescent="0.4">
      <c r="A149" s="331"/>
      <c r="B149" s="166"/>
      <c r="H149" s="332"/>
      <c r="K149" s="183"/>
      <c r="L149" s="191"/>
    </row>
    <row r="150" spans="1:12" x14ac:dyDescent="0.4">
      <c r="A150" s="331"/>
      <c r="B150" s="166"/>
      <c r="C150" s="186"/>
      <c r="D150" s="186" t="s">
        <v>478</v>
      </c>
      <c r="E150" s="186" t="s">
        <v>479</v>
      </c>
      <c r="F150" s="186"/>
      <c r="H150" s="332"/>
      <c r="J150" s="232">
        <v>270000</v>
      </c>
      <c r="K150" s="183"/>
      <c r="L150" s="191"/>
    </row>
    <row r="151" spans="1:12" x14ac:dyDescent="0.4">
      <c r="A151" s="331"/>
      <c r="B151" s="166"/>
      <c r="C151" s="186">
        <v>21073</v>
      </c>
      <c r="D151" s="186" t="s">
        <v>474</v>
      </c>
      <c r="E151" s="186" t="s">
        <v>480</v>
      </c>
      <c r="F151" s="186"/>
      <c r="H151" s="332"/>
      <c r="J151" s="232">
        <v>60000</v>
      </c>
      <c r="K151" s="183"/>
      <c r="L151" s="191"/>
    </row>
    <row r="152" spans="1:12" x14ac:dyDescent="0.4">
      <c r="A152" s="331"/>
      <c r="B152" s="166"/>
      <c r="C152" s="186">
        <v>10150</v>
      </c>
      <c r="D152" s="186" t="s">
        <v>481</v>
      </c>
      <c r="E152" s="186" t="s">
        <v>482</v>
      </c>
      <c r="F152" s="186"/>
      <c r="H152" s="332"/>
      <c r="J152" s="232">
        <v>390000</v>
      </c>
      <c r="K152" s="183"/>
      <c r="L152" s="191"/>
    </row>
    <row r="153" spans="1:12" x14ac:dyDescent="0.4">
      <c r="A153" s="331"/>
      <c r="B153" s="166"/>
      <c r="C153" s="186"/>
      <c r="D153" s="186" t="s">
        <v>476</v>
      </c>
      <c r="E153" s="186" t="s">
        <v>483</v>
      </c>
      <c r="F153" s="186"/>
      <c r="H153" s="332"/>
      <c r="J153" s="232">
        <v>380000</v>
      </c>
      <c r="K153" s="183"/>
      <c r="L153" s="191"/>
    </row>
    <row r="154" spans="1:12" x14ac:dyDescent="0.4">
      <c r="A154" s="331"/>
      <c r="B154" s="166"/>
      <c r="C154" s="186">
        <v>21005</v>
      </c>
      <c r="D154" s="186" t="s">
        <v>484</v>
      </c>
      <c r="E154" s="186" t="s">
        <v>485</v>
      </c>
      <c r="F154" s="186"/>
      <c r="H154" s="332"/>
      <c r="J154" s="232">
        <v>2150000</v>
      </c>
      <c r="K154" s="183"/>
      <c r="L154" s="191"/>
    </row>
    <row r="155" spans="1:12" x14ac:dyDescent="0.4">
      <c r="A155" s="331"/>
      <c r="B155" s="166"/>
      <c r="C155" s="186"/>
      <c r="D155" s="186" t="s">
        <v>477</v>
      </c>
      <c r="E155" s="186" t="s">
        <v>486</v>
      </c>
      <c r="F155" s="186"/>
      <c r="H155" s="332"/>
      <c r="J155" s="232">
        <v>2410000</v>
      </c>
      <c r="K155" s="183"/>
      <c r="L155" s="191"/>
    </row>
    <row r="156" spans="1:12" x14ac:dyDescent="0.4">
      <c r="A156" s="331"/>
      <c r="B156" s="166"/>
      <c r="D156" s="186" t="s">
        <v>484</v>
      </c>
      <c r="E156" s="186" t="s">
        <v>628</v>
      </c>
      <c r="H156" s="332"/>
      <c r="J156" s="232">
        <v>5000000</v>
      </c>
      <c r="K156" s="183"/>
      <c r="L156" s="191"/>
    </row>
    <row r="157" spans="1:12" x14ac:dyDescent="0.4">
      <c r="A157" s="331"/>
      <c r="B157" s="166"/>
      <c r="H157" s="332"/>
      <c r="K157" s="183"/>
      <c r="L157" s="191"/>
    </row>
    <row r="158" spans="1:12" x14ac:dyDescent="0.4">
      <c r="A158" s="331"/>
      <c r="B158" s="166"/>
      <c r="H158" s="332"/>
      <c r="K158" s="183"/>
      <c r="L158" s="191"/>
    </row>
    <row r="159" spans="1:12" x14ac:dyDescent="0.4">
      <c r="H159" s="332"/>
      <c r="I159" s="192">
        <f>SUM(I143:I158)</f>
        <v>0</v>
      </c>
      <c r="J159" s="192">
        <f>SUM(J143:J158)</f>
        <v>14620000</v>
      </c>
      <c r="K159" s="192">
        <f>SUM(K143:K158)</f>
        <v>0</v>
      </c>
      <c r="L159" s="192">
        <f>H143-K159</f>
        <v>0</v>
      </c>
    </row>
    <row r="160" spans="1:12" x14ac:dyDescent="0.4">
      <c r="I160" s="176"/>
      <c r="J160" s="176"/>
    </row>
    <row r="161" spans="1:13" x14ac:dyDescent="0.4">
      <c r="A161" s="333" t="s">
        <v>467</v>
      </c>
      <c r="B161" s="177"/>
      <c r="C161" s="177" t="s">
        <v>426</v>
      </c>
      <c r="D161" s="177" t="s">
        <v>113</v>
      </c>
      <c r="E161" s="177" t="s">
        <v>87</v>
      </c>
      <c r="F161" s="177" t="s">
        <v>127</v>
      </c>
      <c r="G161" s="177" t="s">
        <v>128</v>
      </c>
      <c r="H161" s="194" t="s">
        <v>270</v>
      </c>
      <c r="I161" s="195" t="s">
        <v>236</v>
      </c>
      <c r="J161" s="195" t="s">
        <v>268</v>
      </c>
      <c r="K161" s="196" t="s">
        <v>267</v>
      </c>
      <c r="L161" s="196" t="s">
        <v>237</v>
      </c>
    </row>
    <row r="162" spans="1:13" x14ac:dyDescent="0.4">
      <c r="A162" s="333"/>
      <c r="B162" s="166">
        <v>1</v>
      </c>
      <c r="C162" s="176">
        <v>20560</v>
      </c>
      <c r="D162" s="176" t="str">
        <f>VLOOKUP(C162,'Project Status'!C:H,6,FALSE)</f>
        <v>LAW SCHOOL</v>
      </c>
      <c r="E162" s="176" t="str">
        <f>VLOOKUP(C162,'Project Status'!C:I,7,FALSE)</f>
        <v>Law School - Electrical Gear Replacement - FY23 FR</v>
      </c>
      <c r="F162" s="176" t="str">
        <f>VLOOKUP(C162,'Project Status'!C:K,9,FALSE)</f>
        <v>Design</v>
      </c>
      <c r="G162" s="176" t="str">
        <f>VLOOKUP(C162,'Project Status'!C:L,10,FALSE)</f>
        <v>Sean Rewers</v>
      </c>
      <c r="H162" s="334">
        <f>Contributions!G136</f>
        <v>0</v>
      </c>
      <c r="I162" s="197"/>
      <c r="J162" s="198"/>
      <c r="K162" s="199"/>
      <c r="L162" s="200"/>
    </row>
    <row r="163" spans="1:13" x14ac:dyDescent="0.4">
      <c r="A163" s="333"/>
      <c r="B163" s="166">
        <f>B162+1</f>
        <v>2</v>
      </c>
      <c r="C163" s="176">
        <v>21007</v>
      </c>
      <c r="D163" s="176" t="str">
        <f>VLOOKUP(C163,'Project Status'!C:H,6,FALSE)</f>
        <v>SC SCIENCE &amp; ENGINEERING</v>
      </c>
      <c r="E163" s="176" t="str">
        <f>VLOOKUP(C163,'Project Status'!C:I,7,FALSE)</f>
        <v>SC5 - HVAC Upgrade Floors 8 and 9 (Phase 4)</v>
      </c>
      <c r="F163" s="176" t="str">
        <f>VLOOKUP(C163,'Project Status'!C:K,9,FALSE)</f>
        <v>Programming or Planning</v>
      </c>
      <c r="G163" s="176" t="str">
        <f>VLOOKUP(C163,'Project Status'!C:L,10,FALSE)</f>
        <v>Jay Surprenant</v>
      </c>
      <c r="H163" s="334"/>
      <c r="I163" s="197"/>
      <c r="J163" s="198"/>
      <c r="K163" s="199"/>
      <c r="L163" s="200"/>
    </row>
    <row r="164" spans="1:13" x14ac:dyDescent="0.4">
      <c r="A164" s="333"/>
      <c r="B164" s="166"/>
      <c r="H164" s="334"/>
      <c r="I164" s="197"/>
      <c r="J164" s="198"/>
      <c r="K164" s="199"/>
      <c r="L164" s="200"/>
    </row>
    <row r="165" spans="1:13" s="170" customFormat="1" x14ac:dyDescent="0.4">
      <c r="A165" s="333"/>
      <c r="B165" s="166"/>
      <c r="C165" s="166"/>
      <c r="D165" s="166"/>
      <c r="E165" s="172"/>
      <c r="F165" s="172"/>
      <c r="G165" s="172"/>
      <c r="H165" s="334"/>
      <c r="I165" s="197"/>
      <c r="J165" s="202"/>
      <c r="K165" s="203"/>
      <c r="L165" s="204"/>
      <c r="M165" s="171"/>
    </row>
    <row r="166" spans="1:13" s="170" customFormat="1" x14ac:dyDescent="0.4">
      <c r="A166" s="333"/>
      <c r="B166" s="166"/>
      <c r="C166" s="187"/>
      <c r="D166" s="186" t="s">
        <v>471</v>
      </c>
      <c r="E166" s="186" t="s">
        <v>487</v>
      </c>
      <c r="F166" s="172"/>
      <c r="G166" s="172"/>
      <c r="H166" s="334"/>
      <c r="I166" s="197"/>
      <c r="J166" s="239">
        <v>80000</v>
      </c>
      <c r="K166" s="203"/>
      <c r="L166" s="204"/>
    </row>
    <row r="167" spans="1:13" s="170" customFormat="1" x14ac:dyDescent="0.4">
      <c r="A167" s="333"/>
      <c r="B167" s="166"/>
      <c r="C167" s="187"/>
      <c r="D167" s="186" t="s">
        <v>488</v>
      </c>
      <c r="E167" s="186" t="s">
        <v>489</v>
      </c>
      <c r="F167" s="172"/>
      <c r="G167" s="172"/>
      <c r="H167" s="334"/>
      <c r="I167" s="197"/>
      <c r="J167" s="239">
        <v>260000</v>
      </c>
      <c r="K167" s="203"/>
      <c r="L167" s="204"/>
    </row>
    <row r="168" spans="1:13" s="170" customFormat="1" x14ac:dyDescent="0.4">
      <c r="A168" s="333"/>
      <c r="B168" s="166"/>
      <c r="C168" s="186">
        <v>21072</v>
      </c>
      <c r="D168" s="186" t="s">
        <v>490</v>
      </c>
      <c r="E168" s="186" t="s">
        <v>491</v>
      </c>
      <c r="F168" s="172"/>
      <c r="G168" s="172"/>
      <c r="H168" s="334"/>
      <c r="I168" s="197"/>
      <c r="J168" s="239">
        <v>60000</v>
      </c>
      <c r="K168" s="203"/>
      <c r="L168" s="204"/>
    </row>
    <row r="169" spans="1:13" s="170" customFormat="1" x14ac:dyDescent="0.4">
      <c r="A169" s="333"/>
      <c r="B169" s="166"/>
      <c r="C169" s="187"/>
      <c r="D169" s="186" t="s">
        <v>492</v>
      </c>
      <c r="E169" s="186" t="s">
        <v>493</v>
      </c>
      <c r="F169" s="172"/>
      <c r="G169" s="172"/>
      <c r="H169" s="334"/>
      <c r="I169" s="197"/>
      <c r="J169" s="239">
        <v>190000</v>
      </c>
      <c r="K169" s="203"/>
      <c r="L169" s="204"/>
    </row>
    <row r="170" spans="1:13" s="170" customFormat="1" x14ac:dyDescent="0.4">
      <c r="A170" s="333"/>
      <c r="B170" s="166"/>
      <c r="C170" s="187"/>
      <c r="D170" s="186" t="s">
        <v>481</v>
      </c>
      <c r="E170" s="186" t="s">
        <v>493</v>
      </c>
      <c r="F170" s="172"/>
      <c r="G170" s="172"/>
      <c r="H170" s="334"/>
      <c r="I170" s="197"/>
      <c r="J170" s="239">
        <v>390000</v>
      </c>
      <c r="K170" s="203"/>
      <c r="L170" s="204"/>
    </row>
    <row r="171" spans="1:13" s="170" customFormat="1" x14ac:dyDescent="0.4">
      <c r="A171" s="333"/>
      <c r="B171" s="166"/>
      <c r="C171" s="187"/>
      <c r="D171" s="186" t="s">
        <v>474</v>
      </c>
      <c r="E171" s="186" t="s">
        <v>494</v>
      </c>
      <c r="F171" s="172"/>
      <c r="G171" s="172"/>
      <c r="H171" s="334"/>
      <c r="I171" s="197"/>
      <c r="J171" s="239">
        <v>2290000</v>
      </c>
      <c r="K171" s="203"/>
      <c r="L171" s="204"/>
    </row>
    <row r="172" spans="1:13" s="170" customFormat="1" x14ac:dyDescent="0.4">
      <c r="A172" s="333"/>
      <c r="B172" s="166"/>
      <c r="C172" s="187"/>
      <c r="D172" s="186" t="s">
        <v>481</v>
      </c>
      <c r="E172" s="186" t="s">
        <v>495</v>
      </c>
      <c r="F172" s="172"/>
      <c r="G172" s="172"/>
      <c r="H172" s="334"/>
      <c r="I172" s="197"/>
      <c r="J172" s="239">
        <v>2760000</v>
      </c>
      <c r="K172" s="203"/>
      <c r="L172" s="204"/>
    </row>
    <row r="173" spans="1:13" s="170" customFormat="1" x14ac:dyDescent="0.4">
      <c r="A173" s="333"/>
      <c r="B173" s="166"/>
      <c r="C173" s="187"/>
      <c r="D173" s="186" t="s">
        <v>496</v>
      </c>
      <c r="E173" s="186" t="s">
        <v>497</v>
      </c>
      <c r="F173" s="172"/>
      <c r="G173" s="172"/>
      <c r="H173" s="334"/>
      <c r="I173" s="197"/>
      <c r="J173" s="239">
        <v>400000</v>
      </c>
      <c r="K173" s="203"/>
      <c r="L173" s="204"/>
    </row>
    <row r="174" spans="1:13" s="170" customFormat="1" x14ac:dyDescent="0.4">
      <c r="A174" s="333"/>
      <c r="B174" s="166"/>
      <c r="C174" s="187"/>
      <c r="D174" s="186" t="s">
        <v>498</v>
      </c>
      <c r="E174" s="186" t="s">
        <v>499</v>
      </c>
      <c r="F174" s="172"/>
      <c r="G174" s="172"/>
      <c r="H174" s="334"/>
      <c r="I174" s="197"/>
      <c r="J174" s="239">
        <v>320000</v>
      </c>
      <c r="K174" s="203"/>
      <c r="L174" s="204"/>
    </row>
    <row r="175" spans="1:13" s="170" customFormat="1" x14ac:dyDescent="0.4">
      <c r="A175" s="333"/>
      <c r="B175" s="166"/>
      <c r="C175" s="187"/>
      <c r="D175" s="186" t="s">
        <v>475</v>
      </c>
      <c r="E175" s="186" t="s">
        <v>500</v>
      </c>
      <c r="F175" s="172"/>
      <c r="G175" s="172"/>
      <c r="H175" s="334"/>
      <c r="I175" s="197"/>
      <c r="J175" s="239">
        <v>380000</v>
      </c>
      <c r="K175" s="203"/>
      <c r="L175" s="204"/>
    </row>
    <row r="176" spans="1:13" s="170" customFormat="1" x14ac:dyDescent="0.4">
      <c r="A176" s="333"/>
      <c r="B176" s="166"/>
      <c r="C176" s="187"/>
      <c r="D176" s="186" t="s">
        <v>501</v>
      </c>
      <c r="E176" s="186" t="s">
        <v>502</v>
      </c>
      <c r="F176" s="172"/>
      <c r="G176" s="172"/>
      <c r="H176" s="334"/>
      <c r="I176" s="197"/>
      <c r="J176" s="239">
        <v>1720000</v>
      </c>
      <c r="K176" s="203"/>
      <c r="L176" s="204"/>
      <c r="M176" s="168"/>
    </row>
    <row r="177" spans="1:14" s="170" customFormat="1" x14ac:dyDescent="0.4">
      <c r="A177" s="333"/>
      <c r="B177" s="166"/>
      <c r="C177" s="187"/>
      <c r="D177" s="186" t="s">
        <v>503</v>
      </c>
      <c r="E177" s="186" t="s">
        <v>504</v>
      </c>
      <c r="F177" s="172"/>
      <c r="G177" s="172"/>
      <c r="H177" s="334"/>
      <c r="I177" s="197"/>
      <c r="J177" s="239">
        <v>250000</v>
      </c>
      <c r="K177" s="203"/>
      <c r="L177" s="204"/>
    </row>
    <row r="178" spans="1:14" s="170" customFormat="1" x14ac:dyDescent="0.4">
      <c r="A178" s="333"/>
      <c r="B178" s="166"/>
      <c r="C178" s="187">
        <v>21198</v>
      </c>
      <c r="D178" s="186" t="s">
        <v>505</v>
      </c>
      <c r="E178" s="186" t="s">
        <v>506</v>
      </c>
      <c r="F178" s="172"/>
      <c r="G178" s="172"/>
      <c r="H178" s="334"/>
      <c r="I178" s="197"/>
      <c r="J178" s="239">
        <v>50000</v>
      </c>
      <c r="K178" s="203"/>
      <c r="L178" s="204"/>
    </row>
    <row r="179" spans="1:14" s="170" customFormat="1" x14ac:dyDescent="0.4">
      <c r="A179" s="333"/>
      <c r="B179" s="166"/>
      <c r="C179" s="187"/>
      <c r="D179" s="186" t="s">
        <v>507</v>
      </c>
      <c r="E179" s="186" t="s">
        <v>493</v>
      </c>
      <c r="F179" s="172"/>
      <c r="G179" s="172"/>
      <c r="H179" s="334"/>
      <c r="I179" s="197"/>
      <c r="J179" s="239">
        <v>450000</v>
      </c>
      <c r="K179" s="203"/>
      <c r="L179" s="204"/>
    </row>
    <row r="180" spans="1:14" s="170" customFormat="1" x14ac:dyDescent="0.4">
      <c r="A180" s="333"/>
      <c r="B180" s="166"/>
      <c r="C180" s="187"/>
      <c r="D180" s="186" t="s">
        <v>476</v>
      </c>
      <c r="E180" s="186" t="s">
        <v>508</v>
      </c>
      <c r="F180" s="172"/>
      <c r="G180" s="172"/>
      <c r="H180" s="334"/>
      <c r="I180" s="197"/>
      <c r="J180" s="239">
        <v>2150000</v>
      </c>
      <c r="K180" s="203"/>
      <c r="L180" s="204"/>
    </row>
    <row r="181" spans="1:14" s="170" customFormat="1" x14ac:dyDescent="0.4">
      <c r="A181" s="333"/>
      <c r="B181" s="166"/>
      <c r="C181" s="186"/>
      <c r="D181" s="186"/>
      <c r="E181" s="186"/>
      <c r="F181" s="172"/>
      <c r="G181" s="172"/>
      <c r="H181" s="334"/>
      <c r="I181" s="197"/>
      <c r="J181" s="239"/>
      <c r="K181" s="203"/>
      <c r="L181" s="205"/>
    </row>
    <row r="182" spans="1:14" s="170" customFormat="1" x14ac:dyDescent="0.4">
      <c r="A182" s="333"/>
      <c r="B182" s="166"/>
      <c r="C182" s="166"/>
      <c r="D182" s="166"/>
      <c r="E182" s="172"/>
      <c r="F182" s="172"/>
      <c r="G182" s="172"/>
      <c r="H182" s="334"/>
      <c r="I182" s="197"/>
      <c r="J182" s="202"/>
      <c r="K182" s="203"/>
      <c r="L182" s="205"/>
    </row>
    <row r="183" spans="1:14" s="170" customFormat="1" x14ac:dyDescent="0.4">
      <c r="A183" s="333"/>
      <c r="B183" s="166"/>
      <c r="C183" s="166"/>
      <c r="D183" s="166"/>
      <c r="E183" s="172"/>
      <c r="F183" s="172"/>
      <c r="G183" s="172"/>
      <c r="H183" s="334"/>
      <c r="I183" s="197"/>
      <c r="J183" s="202"/>
      <c r="K183" s="203"/>
      <c r="L183" s="240"/>
    </row>
    <row r="184" spans="1:14" s="170" customFormat="1" x14ac:dyDescent="0.4">
      <c r="A184" s="333"/>
      <c r="B184" s="166"/>
      <c r="C184" s="166"/>
      <c r="D184" s="166"/>
      <c r="E184" s="172"/>
      <c r="F184" s="172"/>
      <c r="G184" s="172"/>
      <c r="H184" s="334"/>
      <c r="I184" s="197"/>
      <c r="J184" s="202"/>
      <c r="K184" s="203"/>
      <c r="L184" s="240"/>
    </row>
    <row r="185" spans="1:14" s="170" customFormat="1" x14ac:dyDescent="0.4">
      <c r="A185" s="333"/>
      <c r="B185" s="166"/>
      <c r="C185" s="166"/>
      <c r="D185" s="166"/>
      <c r="E185" s="172"/>
      <c r="F185" s="172"/>
      <c r="G185" s="172"/>
      <c r="H185" s="334"/>
      <c r="I185" s="197"/>
      <c r="J185" s="202"/>
      <c r="K185" s="203"/>
      <c r="L185" s="240"/>
    </row>
    <row r="186" spans="1:14" s="170" customFormat="1" x14ac:dyDescent="0.4">
      <c r="A186" s="333"/>
      <c r="B186" s="166"/>
      <c r="C186" s="166"/>
      <c r="D186" s="166"/>
      <c r="E186" s="172"/>
      <c r="F186" s="172"/>
      <c r="G186" s="172"/>
      <c r="H186" s="334"/>
      <c r="I186" s="197"/>
      <c r="J186" s="202"/>
      <c r="K186" s="203"/>
      <c r="L186" s="205"/>
    </row>
    <row r="187" spans="1:14" x14ac:dyDescent="0.4">
      <c r="A187" s="333"/>
      <c r="C187" s="166"/>
      <c r="D187" s="166"/>
      <c r="E187" s="172"/>
      <c r="F187" s="172"/>
      <c r="G187" s="172"/>
      <c r="H187" s="334"/>
      <c r="I187" s="197"/>
      <c r="J187" s="202"/>
      <c r="K187" s="203"/>
      <c r="L187" s="200"/>
    </row>
    <row r="188" spans="1:14" x14ac:dyDescent="0.4">
      <c r="H188" s="334"/>
      <c r="I188" s="208">
        <f>SUM(I162:I187)</f>
        <v>0</v>
      </c>
      <c r="J188" s="208">
        <f>SUM(J162:J187)</f>
        <v>11750000</v>
      </c>
      <c r="K188" s="208">
        <f>SUM(K162:K187)</f>
        <v>0</v>
      </c>
      <c r="L188" s="208">
        <f>H162-K188+L186</f>
        <v>0</v>
      </c>
      <c r="M188" s="167"/>
      <c r="N188" s="167"/>
    </row>
    <row r="189" spans="1:14" x14ac:dyDescent="0.4">
      <c r="I189" s="193"/>
      <c r="J189" s="193"/>
      <c r="L189" s="183"/>
      <c r="M189" s="167"/>
      <c r="N189" s="167"/>
    </row>
    <row r="190" spans="1:14" x14ac:dyDescent="0.4">
      <c r="A190" s="335" t="s">
        <v>468</v>
      </c>
      <c r="B190" s="180"/>
      <c r="C190" s="180" t="s">
        <v>426</v>
      </c>
      <c r="D190" s="180" t="s">
        <v>113</v>
      </c>
      <c r="E190" s="180" t="s">
        <v>87</v>
      </c>
      <c r="F190" s="180" t="s">
        <v>127</v>
      </c>
      <c r="G190" s="180" t="s">
        <v>128</v>
      </c>
      <c r="H190" s="209" t="s">
        <v>270</v>
      </c>
      <c r="I190" s="210" t="s">
        <v>236</v>
      </c>
      <c r="J190" s="210" t="s">
        <v>268</v>
      </c>
      <c r="K190" s="211" t="s">
        <v>267</v>
      </c>
      <c r="L190" s="211" t="s">
        <v>237</v>
      </c>
    </row>
    <row r="191" spans="1:14" s="168" customFormat="1" x14ac:dyDescent="0.4">
      <c r="A191" s="335"/>
      <c r="B191" s="172"/>
      <c r="C191" s="178"/>
      <c r="D191" s="178"/>
      <c r="E191" s="178"/>
      <c r="F191" s="178"/>
      <c r="G191" s="178"/>
      <c r="H191" s="336">
        <f>Contributions!K139</f>
        <v>0</v>
      </c>
      <c r="I191" s="197"/>
      <c r="J191" s="212"/>
      <c r="K191" s="199"/>
      <c r="L191" s="213"/>
    </row>
    <row r="192" spans="1:14" s="168" customFormat="1" x14ac:dyDescent="0.4">
      <c r="A192" s="335"/>
      <c r="B192" s="172"/>
      <c r="C192" s="178"/>
      <c r="D192" s="178"/>
      <c r="E192" s="178"/>
      <c r="F192" s="178"/>
      <c r="G192" s="178"/>
      <c r="H192" s="336"/>
      <c r="I192" s="197"/>
      <c r="J192" s="212"/>
      <c r="K192" s="199"/>
      <c r="L192" s="213"/>
    </row>
    <row r="193" spans="1:12" s="168" customFormat="1" x14ac:dyDescent="0.4">
      <c r="A193" s="335"/>
      <c r="B193" s="172"/>
      <c r="C193" s="186"/>
      <c r="D193" s="186" t="s">
        <v>488</v>
      </c>
      <c r="E193" s="186" t="s">
        <v>509</v>
      </c>
      <c r="F193" s="178"/>
      <c r="G193" s="178"/>
      <c r="H193" s="336"/>
      <c r="I193" s="197"/>
      <c r="J193" s="239">
        <v>330000</v>
      </c>
      <c r="K193" s="199"/>
      <c r="L193" s="213"/>
    </row>
    <row r="194" spans="1:12" s="168" customFormat="1" x14ac:dyDescent="0.4">
      <c r="A194" s="335"/>
      <c r="B194" s="172"/>
      <c r="C194" s="186"/>
      <c r="D194" s="186" t="s">
        <v>490</v>
      </c>
      <c r="E194" s="186" t="s">
        <v>510</v>
      </c>
      <c r="F194" s="178"/>
      <c r="G194" s="178"/>
      <c r="H194" s="336"/>
      <c r="I194" s="197"/>
      <c r="J194" s="239">
        <v>3190000</v>
      </c>
      <c r="K194" s="199"/>
      <c r="L194" s="213"/>
    </row>
    <row r="195" spans="1:12" s="168" customFormat="1" x14ac:dyDescent="0.4">
      <c r="A195" s="335"/>
      <c r="B195" s="172"/>
      <c r="C195" s="186"/>
      <c r="D195" s="186" t="s">
        <v>490</v>
      </c>
      <c r="E195" s="186" t="s">
        <v>511</v>
      </c>
      <c r="F195" s="178"/>
      <c r="G195" s="178"/>
      <c r="H195" s="336"/>
      <c r="I195" s="197"/>
      <c r="J195" s="239">
        <v>70000</v>
      </c>
      <c r="K195" s="199"/>
      <c r="L195" s="213"/>
    </row>
    <row r="196" spans="1:12" s="168" customFormat="1" x14ac:dyDescent="0.4">
      <c r="A196" s="335"/>
      <c r="B196" s="172"/>
      <c r="C196" s="186"/>
      <c r="D196" s="186" t="s">
        <v>492</v>
      </c>
      <c r="E196" s="186" t="s">
        <v>512</v>
      </c>
      <c r="F196" s="178"/>
      <c r="G196" s="178"/>
      <c r="H196" s="336"/>
      <c r="I196" s="197"/>
      <c r="J196" s="239">
        <v>270000</v>
      </c>
      <c r="K196" s="199"/>
      <c r="L196" s="213"/>
    </row>
    <row r="197" spans="1:12" s="168" customFormat="1" x14ac:dyDescent="0.4">
      <c r="A197" s="335"/>
      <c r="B197" s="172"/>
      <c r="C197" s="186"/>
      <c r="D197" s="186" t="s">
        <v>513</v>
      </c>
      <c r="E197" s="186" t="s">
        <v>514</v>
      </c>
      <c r="F197" s="178"/>
      <c r="G197" s="178"/>
      <c r="H197" s="336"/>
      <c r="I197" s="197"/>
      <c r="J197" s="239">
        <v>810000</v>
      </c>
      <c r="K197" s="199"/>
      <c r="L197" s="213"/>
    </row>
    <row r="198" spans="1:12" s="168" customFormat="1" x14ac:dyDescent="0.4">
      <c r="A198" s="335"/>
      <c r="B198" s="172"/>
      <c r="C198" s="186"/>
      <c r="D198" s="186" t="s">
        <v>498</v>
      </c>
      <c r="E198" s="186" t="s">
        <v>504</v>
      </c>
      <c r="F198" s="178"/>
      <c r="G198" s="178"/>
      <c r="H198" s="336"/>
      <c r="I198" s="197"/>
      <c r="J198" s="239">
        <v>570000</v>
      </c>
      <c r="K198" s="199"/>
      <c r="L198" s="213"/>
    </row>
    <row r="199" spans="1:12" s="168" customFormat="1" x14ac:dyDescent="0.4">
      <c r="A199" s="335"/>
      <c r="B199" s="172"/>
      <c r="C199" s="186"/>
      <c r="D199" s="186" t="s">
        <v>475</v>
      </c>
      <c r="E199" s="186" t="s">
        <v>515</v>
      </c>
      <c r="F199" s="178"/>
      <c r="G199" s="178"/>
      <c r="H199" s="336"/>
      <c r="I199" s="197"/>
      <c r="J199" s="239">
        <v>280000</v>
      </c>
      <c r="K199" s="199"/>
      <c r="L199" s="213"/>
    </row>
    <row r="200" spans="1:12" s="168" customFormat="1" x14ac:dyDescent="0.4">
      <c r="A200" s="335"/>
      <c r="B200" s="172"/>
      <c r="C200" s="186">
        <v>21074</v>
      </c>
      <c r="D200" s="186" t="s">
        <v>475</v>
      </c>
      <c r="E200" s="186" t="s">
        <v>516</v>
      </c>
      <c r="F200" s="178"/>
      <c r="G200" s="178"/>
      <c r="H200" s="336"/>
      <c r="I200" s="197"/>
      <c r="J200" s="239">
        <v>60000</v>
      </c>
      <c r="K200" s="199"/>
      <c r="L200" s="213"/>
    </row>
    <row r="201" spans="1:12" s="168" customFormat="1" x14ac:dyDescent="0.4">
      <c r="A201" s="335"/>
      <c r="B201" s="172"/>
      <c r="C201" s="186"/>
      <c r="D201" s="186" t="s">
        <v>501</v>
      </c>
      <c r="E201" s="186" t="s">
        <v>517</v>
      </c>
      <c r="F201" s="178"/>
      <c r="G201" s="178"/>
      <c r="H201" s="336"/>
      <c r="I201" s="197"/>
      <c r="J201" s="239">
        <v>1720000</v>
      </c>
      <c r="K201" s="199"/>
      <c r="L201" s="213"/>
    </row>
    <row r="202" spans="1:12" s="168" customFormat="1" x14ac:dyDescent="0.4">
      <c r="A202" s="335"/>
      <c r="B202" s="172"/>
      <c r="C202" s="186"/>
      <c r="D202" s="186" t="s">
        <v>503</v>
      </c>
      <c r="E202" s="186" t="s">
        <v>518</v>
      </c>
      <c r="F202" s="178"/>
      <c r="G202" s="178"/>
      <c r="H202" s="336"/>
      <c r="I202" s="197"/>
      <c r="J202" s="239">
        <v>940000</v>
      </c>
      <c r="K202" s="199"/>
      <c r="L202" s="213"/>
    </row>
    <row r="203" spans="1:12" s="168" customFormat="1" x14ac:dyDescent="0.4">
      <c r="A203" s="335"/>
      <c r="B203" s="172"/>
      <c r="C203" s="186"/>
      <c r="D203" s="186" t="s">
        <v>505</v>
      </c>
      <c r="E203" s="186" t="s">
        <v>519</v>
      </c>
      <c r="F203" s="178"/>
      <c r="G203" s="178"/>
      <c r="H203" s="336"/>
      <c r="I203" s="197"/>
      <c r="J203" s="239">
        <v>1600000</v>
      </c>
      <c r="K203" s="199"/>
      <c r="L203" s="213"/>
    </row>
    <row r="204" spans="1:12" s="168" customFormat="1" x14ac:dyDescent="0.4">
      <c r="A204" s="335"/>
      <c r="B204" s="172"/>
      <c r="C204" s="186"/>
      <c r="D204" s="186" t="s">
        <v>507</v>
      </c>
      <c r="E204" s="186" t="s">
        <v>520</v>
      </c>
      <c r="F204" s="178"/>
      <c r="G204" s="178"/>
      <c r="H204" s="336"/>
      <c r="I204" s="197"/>
      <c r="J204" s="239">
        <v>50000</v>
      </c>
      <c r="K204" s="199"/>
      <c r="L204" s="213"/>
    </row>
    <row r="205" spans="1:12" s="168" customFormat="1" x14ac:dyDescent="0.4">
      <c r="A205" s="335"/>
      <c r="B205" s="172"/>
      <c r="C205" s="186"/>
      <c r="D205" s="186" t="s">
        <v>507</v>
      </c>
      <c r="E205" s="186" t="s">
        <v>521</v>
      </c>
      <c r="F205" s="178"/>
      <c r="G205" s="178"/>
      <c r="H205" s="336"/>
      <c r="I205" s="197"/>
      <c r="J205" s="239">
        <v>50000</v>
      </c>
      <c r="K205" s="199"/>
      <c r="L205" s="213"/>
    </row>
    <row r="206" spans="1:12" s="168" customFormat="1" x14ac:dyDescent="0.4">
      <c r="A206" s="335"/>
      <c r="B206" s="172"/>
      <c r="C206" s="186"/>
      <c r="D206" s="186" t="s">
        <v>507</v>
      </c>
      <c r="E206" s="186" t="s">
        <v>522</v>
      </c>
      <c r="F206" s="178"/>
      <c r="G206" s="178"/>
      <c r="H206" s="336"/>
      <c r="I206" s="197"/>
      <c r="J206" s="239">
        <v>1520000</v>
      </c>
      <c r="K206" s="199"/>
      <c r="L206" s="213"/>
    </row>
    <row r="207" spans="1:12" s="168" customFormat="1" x14ac:dyDescent="0.4">
      <c r="A207" s="335"/>
      <c r="B207" s="172"/>
      <c r="C207" s="186"/>
      <c r="D207" s="186" t="s">
        <v>476</v>
      </c>
      <c r="E207" s="186" t="s">
        <v>523</v>
      </c>
      <c r="F207" s="178"/>
      <c r="G207" s="178"/>
      <c r="H207" s="336"/>
      <c r="I207" s="197"/>
      <c r="J207" s="239">
        <v>2230000</v>
      </c>
      <c r="K207" s="199"/>
      <c r="L207" s="213"/>
    </row>
    <row r="208" spans="1:12" s="168" customFormat="1" x14ac:dyDescent="0.4">
      <c r="A208" s="335"/>
      <c r="B208" s="172"/>
      <c r="C208" s="186"/>
      <c r="D208" s="186" t="s">
        <v>484</v>
      </c>
      <c r="E208" s="186" t="s">
        <v>524</v>
      </c>
      <c r="F208" s="178"/>
      <c r="G208" s="178"/>
      <c r="H208" s="336"/>
      <c r="I208" s="197"/>
      <c r="J208" s="239">
        <v>2410000</v>
      </c>
      <c r="K208" s="199"/>
      <c r="L208" s="213"/>
    </row>
    <row r="209" spans="1:12" s="168" customFormat="1" x14ac:dyDescent="0.4">
      <c r="A209" s="335"/>
      <c r="B209" s="172"/>
      <c r="C209" s="178"/>
      <c r="D209" s="178"/>
      <c r="E209" s="178"/>
      <c r="F209" s="178"/>
      <c r="G209" s="178"/>
      <c r="H209" s="336"/>
      <c r="I209" s="197"/>
      <c r="J209" s="212"/>
      <c r="K209" s="199"/>
      <c r="L209" s="213"/>
    </row>
    <row r="210" spans="1:12" s="168" customFormat="1" x14ac:dyDescent="0.4">
      <c r="A210" s="335"/>
      <c r="B210" s="172"/>
      <c r="C210" s="178"/>
      <c r="D210" s="178"/>
      <c r="E210" s="178"/>
      <c r="F210" s="178"/>
      <c r="G210" s="178"/>
      <c r="H210" s="336"/>
      <c r="I210" s="197"/>
      <c r="J210" s="212"/>
      <c r="K210" s="199"/>
      <c r="L210" s="213"/>
    </row>
    <row r="211" spans="1:12" x14ac:dyDescent="0.4">
      <c r="A211" s="335"/>
      <c r="B211" s="172"/>
      <c r="F211" s="178"/>
      <c r="G211" s="178"/>
      <c r="H211" s="336"/>
      <c r="I211" s="197"/>
      <c r="J211" s="212"/>
      <c r="K211" s="199"/>
      <c r="L211" s="213"/>
    </row>
    <row r="212" spans="1:12" s="168" customFormat="1" x14ac:dyDescent="0.4">
      <c r="A212" s="335"/>
      <c r="B212" s="172"/>
      <c r="C212" s="178"/>
      <c r="D212" s="178"/>
      <c r="E212" s="178"/>
      <c r="F212" s="178"/>
      <c r="G212" s="178"/>
      <c r="H212" s="336"/>
      <c r="I212" s="197"/>
      <c r="J212" s="212"/>
      <c r="K212" s="199"/>
      <c r="L212" s="213"/>
    </row>
    <row r="213" spans="1:12" s="168" customFormat="1" x14ac:dyDescent="0.4">
      <c r="A213" s="335"/>
      <c r="B213" s="172"/>
      <c r="C213" s="178"/>
      <c r="D213" s="178"/>
      <c r="E213" s="178"/>
      <c r="F213" s="178"/>
      <c r="G213" s="178"/>
      <c r="H213" s="336"/>
      <c r="I213" s="197"/>
      <c r="J213" s="212"/>
      <c r="K213" s="199"/>
      <c r="L213" s="213"/>
    </row>
    <row r="214" spans="1:12" s="168" customFormat="1" x14ac:dyDescent="0.4">
      <c r="A214" s="335"/>
      <c r="B214" s="172"/>
      <c r="C214" s="178"/>
      <c r="D214" s="178"/>
      <c r="E214" s="178"/>
      <c r="F214" s="178"/>
      <c r="G214" s="178"/>
      <c r="H214" s="336"/>
      <c r="I214" s="197"/>
      <c r="J214" s="212"/>
      <c r="K214" s="199"/>
      <c r="L214" s="213"/>
    </row>
    <row r="215" spans="1:12" s="168" customFormat="1" x14ac:dyDescent="0.4">
      <c r="A215" s="335"/>
      <c r="B215" s="172"/>
      <c r="C215" s="178"/>
      <c r="D215" s="178"/>
      <c r="E215" s="178"/>
      <c r="F215" s="178"/>
      <c r="G215" s="178"/>
      <c r="H215" s="336"/>
      <c r="I215" s="197"/>
      <c r="J215" s="214"/>
      <c r="K215" s="199"/>
      <c r="L215" s="215"/>
    </row>
    <row r="216" spans="1:12" s="168" customFormat="1" x14ac:dyDescent="0.4">
      <c r="A216" s="335"/>
      <c r="B216" s="172"/>
      <c r="C216" s="178"/>
      <c r="D216" s="178"/>
      <c r="E216" s="178"/>
      <c r="F216" s="178"/>
      <c r="G216" s="178"/>
      <c r="H216" s="336"/>
      <c r="I216" s="197"/>
      <c r="J216" s="212"/>
      <c r="K216" s="199"/>
      <c r="L216" s="215"/>
    </row>
    <row r="217" spans="1:12" x14ac:dyDescent="0.4">
      <c r="D217" s="183"/>
      <c r="G217" s="184"/>
      <c r="H217" s="336"/>
      <c r="I217" s="224">
        <f>SUM(I191:I216)</f>
        <v>0</v>
      </c>
      <c r="J217" s="224">
        <f>SUM(J191:J216)</f>
        <v>16100000</v>
      </c>
      <c r="K217" s="224">
        <f>SUM(K191:K216)</f>
        <v>0</v>
      </c>
      <c r="L217" s="224" t="e">
        <f>H191-K217+#REF!</f>
        <v>#REF!</v>
      </c>
    </row>
    <row r="218" spans="1:12" x14ac:dyDescent="0.4">
      <c r="D218" s="183"/>
      <c r="I218" s="225"/>
    </row>
    <row r="219" spans="1:12" x14ac:dyDescent="0.4">
      <c r="A219" s="337" t="s">
        <v>469</v>
      </c>
      <c r="B219" s="185"/>
      <c r="C219" s="185" t="s">
        <v>426</v>
      </c>
      <c r="D219" s="185" t="s">
        <v>113</v>
      </c>
      <c r="E219" s="185" t="s">
        <v>87</v>
      </c>
      <c r="F219" s="185" t="s">
        <v>127</v>
      </c>
      <c r="G219" s="185" t="s">
        <v>128</v>
      </c>
      <c r="H219" s="226" t="s">
        <v>270</v>
      </c>
      <c r="I219" s="227" t="s">
        <v>236</v>
      </c>
      <c r="J219" s="227" t="s">
        <v>268</v>
      </c>
      <c r="K219" s="228" t="s">
        <v>267</v>
      </c>
      <c r="L219" s="228" t="s">
        <v>237</v>
      </c>
    </row>
    <row r="220" spans="1:12" x14ac:dyDescent="0.4">
      <c r="A220" s="337"/>
      <c r="B220" s="166"/>
      <c r="H220" s="338">
        <f>Contributions!O135</f>
        <v>0</v>
      </c>
      <c r="J220" s="229"/>
      <c r="K220" s="199"/>
      <c r="L220" s="230"/>
    </row>
    <row r="221" spans="1:12" x14ac:dyDescent="0.4">
      <c r="A221" s="337"/>
      <c r="B221" s="166"/>
      <c r="C221" s="178"/>
      <c r="H221" s="338"/>
      <c r="J221" s="229"/>
      <c r="K221" s="199"/>
      <c r="L221" s="230"/>
    </row>
    <row r="222" spans="1:12" x14ac:dyDescent="0.4">
      <c r="A222" s="337"/>
      <c r="B222" s="166"/>
      <c r="D222" s="186" t="s">
        <v>525</v>
      </c>
      <c r="E222" s="186" t="s">
        <v>526</v>
      </c>
      <c r="H222" s="338"/>
      <c r="J222" s="239">
        <v>370000</v>
      </c>
      <c r="K222" s="199"/>
      <c r="L222" s="230"/>
    </row>
    <row r="223" spans="1:12" x14ac:dyDescent="0.4">
      <c r="A223" s="337"/>
      <c r="B223" s="166"/>
      <c r="C223" s="178"/>
      <c r="D223" s="186" t="s">
        <v>472</v>
      </c>
      <c r="E223" s="186" t="s">
        <v>527</v>
      </c>
      <c r="H223" s="338"/>
      <c r="J223" s="239">
        <v>800000</v>
      </c>
      <c r="K223" s="199"/>
      <c r="L223" s="230"/>
    </row>
    <row r="224" spans="1:12" x14ac:dyDescent="0.4">
      <c r="A224" s="337"/>
      <c r="B224" s="166"/>
      <c r="D224" s="186" t="s">
        <v>471</v>
      </c>
      <c r="E224" s="186" t="s">
        <v>528</v>
      </c>
      <c r="H224" s="338"/>
      <c r="J224" s="239">
        <v>410000</v>
      </c>
      <c r="K224" s="199"/>
      <c r="L224" s="230"/>
    </row>
    <row r="225" spans="1:12" x14ac:dyDescent="0.4">
      <c r="A225" s="337"/>
      <c r="B225" s="166"/>
      <c r="D225" s="186" t="s">
        <v>488</v>
      </c>
      <c r="E225" s="186" t="s">
        <v>529</v>
      </c>
      <c r="H225" s="338"/>
      <c r="J225" s="239">
        <v>440000</v>
      </c>
      <c r="K225" s="199"/>
      <c r="L225" s="230"/>
    </row>
    <row r="226" spans="1:12" x14ac:dyDescent="0.4">
      <c r="A226" s="337"/>
      <c r="B226" s="166"/>
      <c r="D226" s="186" t="s">
        <v>488</v>
      </c>
      <c r="E226" s="186" t="s">
        <v>530</v>
      </c>
      <c r="H226" s="338"/>
      <c r="J226" s="239">
        <v>180000</v>
      </c>
      <c r="K226" s="199"/>
      <c r="L226" s="230"/>
    </row>
    <row r="227" spans="1:12" x14ac:dyDescent="0.4">
      <c r="A227" s="337"/>
      <c r="B227" s="166"/>
      <c r="D227" s="186" t="s">
        <v>488</v>
      </c>
      <c r="E227" s="186" t="s">
        <v>531</v>
      </c>
      <c r="H227" s="338"/>
      <c r="J227" s="239">
        <v>240000</v>
      </c>
      <c r="K227" s="199"/>
      <c r="L227" s="230"/>
    </row>
    <row r="228" spans="1:12" x14ac:dyDescent="0.4">
      <c r="A228" s="337"/>
      <c r="D228" s="186" t="s">
        <v>481</v>
      </c>
      <c r="E228" s="186" t="s">
        <v>532</v>
      </c>
      <c r="H228" s="338"/>
      <c r="J228" s="232">
        <v>1990000</v>
      </c>
      <c r="K228" s="183"/>
      <c r="L228" s="230"/>
    </row>
    <row r="229" spans="1:12" x14ac:dyDescent="0.4">
      <c r="A229" s="337"/>
      <c r="D229" s="186" t="s">
        <v>498</v>
      </c>
      <c r="E229" s="186" t="s">
        <v>533</v>
      </c>
      <c r="H229" s="338"/>
      <c r="J229" s="232">
        <v>280000</v>
      </c>
      <c r="K229" s="183"/>
      <c r="L229" s="230"/>
    </row>
    <row r="230" spans="1:12" x14ac:dyDescent="0.4">
      <c r="A230" s="337"/>
      <c r="D230" s="186" t="s">
        <v>501</v>
      </c>
      <c r="E230" s="186" t="s">
        <v>534</v>
      </c>
      <c r="H230" s="338"/>
      <c r="J230" s="232">
        <v>1720000</v>
      </c>
      <c r="K230" s="183"/>
      <c r="L230" s="230"/>
    </row>
    <row r="231" spans="1:12" x14ac:dyDescent="0.4">
      <c r="A231" s="337"/>
      <c r="D231" s="186" t="s">
        <v>503</v>
      </c>
      <c r="E231" s="186" t="s">
        <v>535</v>
      </c>
      <c r="H231" s="338"/>
      <c r="J231" s="232">
        <v>2000000</v>
      </c>
      <c r="K231" s="183"/>
      <c r="L231" s="230"/>
    </row>
    <row r="232" spans="1:12" x14ac:dyDescent="0.4">
      <c r="A232" s="337"/>
      <c r="D232" s="186" t="s">
        <v>505</v>
      </c>
      <c r="E232" s="186" t="s">
        <v>536</v>
      </c>
      <c r="H232" s="338"/>
      <c r="J232" s="232">
        <v>1600000</v>
      </c>
      <c r="K232" s="183"/>
      <c r="L232" s="230"/>
    </row>
    <row r="233" spans="1:12" x14ac:dyDescent="0.4">
      <c r="A233" s="337"/>
      <c r="D233" s="186" t="s">
        <v>537</v>
      </c>
      <c r="E233" s="186" t="s">
        <v>538</v>
      </c>
      <c r="H233" s="338"/>
      <c r="J233" s="232">
        <v>2120000</v>
      </c>
      <c r="K233" s="183"/>
      <c r="L233" s="230"/>
    </row>
    <row r="234" spans="1:12" x14ac:dyDescent="0.4">
      <c r="A234" s="337"/>
      <c r="H234" s="338"/>
      <c r="K234" s="183"/>
      <c r="L234" s="230"/>
    </row>
    <row r="235" spans="1:12" x14ac:dyDescent="0.4">
      <c r="A235" s="337"/>
      <c r="H235" s="338"/>
      <c r="K235" s="183"/>
      <c r="L235" s="230"/>
    </row>
    <row r="236" spans="1:12" x14ac:dyDescent="0.4">
      <c r="A236" s="337"/>
      <c r="H236" s="338"/>
      <c r="K236" s="183"/>
      <c r="L236" s="230"/>
    </row>
    <row r="237" spans="1:12" x14ac:dyDescent="0.4">
      <c r="A237" s="337"/>
      <c r="H237" s="338"/>
      <c r="K237" s="183"/>
      <c r="L237" s="230"/>
    </row>
    <row r="238" spans="1:12" x14ac:dyDescent="0.4">
      <c r="A238" s="337"/>
      <c r="H238" s="338"/>
      <c r="K238" s="183"/>
      <c r="L238" s="230"/>
    </row>
    <row r="239" spans="1:12" x14ac:dyDescent="0.4">
      <c r="H239" s="338"/>
      <c r="I239" s="238">
        <f>SUM(I220:I238)</f>
        <v>0</v>
      </c>
      <c r="J239" s="238">
        <f>SUM(J220:J238)</f>
        <v>12150000</v>
      </c>
      <c r="K239" s="238">
        <f>SUM(K220:K238)</f>
        <v>0</v>
      </c>
      <c r="L239" s="238">
        <f>H220-K239</f>
        <v>0</v>
      </c>
    </row>
    <row r="240" spans="1:12" x14ac:dyDescent="0.4">
      <c r="I240" s="176"/>
      <c r="J240" s="176"/>
    </row>
    <row r="241" spans="1:12" x14ac:dyDescent="0.4">
      <c r="A241" s="331" t="s">
        <v>470</v>
      </c>
      <c r="B241" s="175"/>
      <c r="C241" s="175" t="s">
        <v>426</v>
      </c>
      <c r="D241" s="175" t="s">
        <v>113</v>
      </c>
      <c r="E241" s="175" t="s">
        <v>87</v>
      </c>
      <c r="F241" s="175" t="s">
        <v>127</v>
      </c>
      <c r="G241" s="175" t="s">
        <v>128</v>
      </c>
      <c r="H241" s="188" t="s">
        <v>270</v>
      </c>
      <c r="I241" s="189" t="s">
        <v>236</v>
      </c>
      <c r="J241" s="189" t="s">
        <v>268</v>
      </c>
      <c r="K241" s="190" t="s">
        <v>267</v>
      </c>
      <c r="L241" s="190" t="s">
        <v>237</v>
      </c>
    </row>
    <row r="242" spans="1:12" x14ac:dyDescent="0.4">
      <c r="A242" s="331"/>
      <c r="B242" s="166"/>
      <c r="H242" s="332"/>
      <c r="K242" s="183"/>
      <c r="L242" s="191"/>
    </row>
    <row r="243" spans="1:12" x14ac:dyDescent="0.4">
      <c r="A243" s="331"/>
      <c r="B243" s="166"/>
      <c r="H243" s="332"/>
      <c r="K243" s="183"/>
      <c r="L243" s="191"/>
    </row>
    <row r="244" spans="1:12" x14ac:dyDescent="0.4">
      <c r="A244" s="331"/>
      <c r="B244" s="166"/>
      <c r="C244" s="186"/>
      <c r="D244" s="186" t="s">
        <v>472</v>
      </c>
      <c r="E244" s="186" t="s">
        <v>539</v>
      </c>
      <c r="H244" s="332"/>
      <c r="J244" s="232">
        <v>870000</v>
      </c>
      <c r="K244" s="183"/>
      <c r="L244" s="191"/>
    </row>
    <row r="245" spans="1:12" x14ac:dyDescent="0.4">
      <c r="A245" s="331"/>
      <c r="B245" s="166"/>
      <c r="C245" s="186"/>
      <c r="D245" s="186" t="s">
        <v>473</v>
      </c>
      <c r="E245" s="186" t="s">
        <v>540</v>
      </c>
      <c r="H245" s="332"/>
      <c r="J245" s="232">
        <v>1510000</v>
      </c>
      <c r="K245" s="183"/>
      <c r="L245" s="191"/>
    </row>
    <row r="246" spans="1:12" x14ac:dyDescent="0.4">
      <c r="A246" s="331"/>
      <c r="B246" s="166"/>
      <c r="C246" s="186"/>
      <c r="D246" s="186" t="s">
        <v>541</v>
      </c>
      <c r="E246" s="186" t="s">
        <v>542</v>
      </c>
      <c r="H246" s="332"/>
      <c r="J246" s="232">
        <v>950000</v>
      </c>
      <c r="K246" s="183"/>
      <c r="L246" s="191"/>
    </row>
    <row r="247" spans="1:12" x14ac:dyDescent="0.4">
      <c r="A247" s="331"/>
      <c r="B247" s="166"/>
      <c r="C247" s="186"/>
      <c r="D247" s="186" t="s">
        <v>541</v>
      </c>
      <c r="E247" s="186" t="s">
        <v>543</v>
      </c>
      <c r="H247" s="332"/>
      <c r="J247" s="232">
        <v>870000</v>
      </c>
      <c r="K247" s="183"/>
      <c r="L247" s="191"/>
    </row>
    <row r="248" spans="1:12" x14ac:dyDescent="0.4">
      <c r="A248" s="331"/>
      <c r="B248" s="166"/>
      <c r="C248" s="186"/>
      <c r="D248" s="186" t="s">
        <v>544</v>
      </c>
      <c r="E248" s="186" t="s">
        <v>545</v>
      </c>
      <c r="H248" s="332"/>
      <c r="J248" s="232">
        <v>500000</v>
      </c>
      <c r="K248" s="183"/>
      <c r="L248" s="191"/>
    </row>
    <row r="249" spans="1:12" x14ac:dyDescent="0.4">
      <c r="A249" s="331"/>
      <c r="B249" s="166"/>
      <c r="C249" s="186"/>
      <c r="D249" s="186" t="s">
        <v>481</v>
      </c>
      <c r="E249" s="186" t="s">
        <v>546</v>
      </c>
      <c r="H249" s="332"/>
      <c r="J249" s="232">
        <v>280000</v>
      </c>
      <c r="K249" s="183"/>
      <c r="L249" s="191"/>
    </row>
    <row r="250" spans="1:12" x14ac:dyDescent="0.4">
      <c r="A250" s="331"/>
      <c r="B250" s="166"/>
      <c r="C250" s="186"/>
      <c r="D250" s="186" t="s">
        <v>475</v>
      </c>
      <c r="E250" s="186" t="s">
        <v>547</v>
      </c>
      <c r="H250" s="332"/>
      <c r="J250" s="232">
        <v>70000</v>
      </c>
      <c r="K250" s="183"/>
      <c r="L250" s="191"/>
    </row>
    <row r="251" spans="1:12" x14ac:dyDescent="0.4">
      <c r="A251" s="331"/>
      <c r="B251" s="166"/>
      <c r="C251" s="186"/>
      <c r="D251" s="186" t="s">
        <v>475</v>
      </c>
      <c r="E251" s="186" t="s">
        <v>548</v>
      </c>
      <c r="H251" s="332"/>
      <c r="J251" s="232">
        <v>970000</v>
      </c>
      <c r="K251" s="183"/>
      <c r="L251" s="191"/>
    </row>
    <row r="252" spans="1:12" x14ac:dyDescent="0.4">
      <c r="A252" s="331"/>
      <c r="B252" s="166"/>
      <c r="C252" s="186"/>
      <c r="D252" s="186" t="s">
        <v>501</v>
      </c>
      <c r="E252" s="186" t="s">
        <v>549</v>
      </c>
      <c r="H252" s="332"/>
      <c r="J252" s="232">
        <v>1680000</v>
      </c>
      <c r="K252" s="183"/>
      <c r="L252" s="191"/>
    </row>
    <row r="253" spans="1:12" x14ac:dyDescent="0.4">
      <c r="A253" s="331"/>
      <c r="B253" s="166"/>
      <c r="C253" s="186"/>
      <c r="D253" s="186" t="s">
        <v>505</v>
      </c>
      <c r="E253" s="186" t="s">
        <v>550</v>
      </c>
      <c r="H253" s="332"/>
      <c r="J253" s="232">
        <v>1600000</v>
      </c>
      <c r="K253" s="183"/>
      <c r="L253" s="191"/>
    </row>
    <row r="254" spans="1:12" x14ac:dyDescent="0.4">
      <c r="A254" s="331"/>
      <c r="B254" s="166"/>
      <c r="C254" s="186"/>
      <c r="D254" s="186" t="s">
        <v>477</v>
      </c>
      <c r="E254" s="186" t="s">
        <v>551</v>
      </c>
      <c r="H254" s="332"/>
      <c r="J254" s="232">
        <v>3820000</v>
      </c>
      <c r="K254" s="183"/>
      <c r="L254" s="191"/>
    </row>
    <row r="255" spans="1:12" x14ac:dyDescent="0.4">
      <c r="A255" s="331"/>
      <c r="B255" s="166"/>
      <c r="H255" s="332"/>
      <c r="K255" s="183"/>
      <c r="L255" s="191"/>
    </row>
    <row r="256" spans="1:12" x14ac:dyDescent="0.4">
      <c r="A256" s="331"/>
      <c r="B256" s="166"/>
      <c r="H256" s="332"/>
      <c r="K256" s="183"/>
      <c r="L256" s="191"/>
    </row>
    <row r="257" spans="8:12" x14ac:dyDescent="0.4">
      <c r="H257" s="332"/>
      <c r="I257" s="192">
        <f>SUM(I242:I256)</f>
        <v>0</v>
      </c>
      <c r="J257" s="192">
        <f>SUM(J242:J256)</f>
        <v>13120000</v>
      </c>
      <c r="K257" s="192">
        <f>SUM(K242:K256)</f>
        <v>0</v>
      </c>
      <c r="L257" s="192">
        <f>H242-K257</f>
        <v>0</v>
      </c>
    </row>
    <row r="258" spans="8:12" x14ac:dyDescent="0.4">
      <c r="I258" s="176"/>
      <c r="J258" s="176"/>
    </row>
  </sheetData>
  <sortState xmlns:xlrd2="http://schemas.microsoft.com/office/spreadsheetml/2017/richdata2" ref="C132:C136">
    <sortCondition ref="C132:C136"/>
  </sortState>
  <mergeCells count="18">
    <mergeCell ref="A142:A158"/>
    <mergeCell ref="H143:H159"/>
    <mergeCell ref="H111:H140"/>
    <mergeCell ref="A110:A139"/>
    <mergeCell ref="H3:H32"/>
    <mergeCell ref="A2:A31"/>
    <mergeCell ref="A34:A74"/>
    <mergeCell ref="A77:A107"/>
    <mergeCell ref="H35:H75"/>
    <mergeCell ref="H78:H108"/>
    <mergeCell ref="A241:A256"/>
    <mergeCell ref="H242:H257"/>
    <mergeCell ref="A161:A187"/>
    <mergeCell ref="H162:H188"/>
    <mergeCell ref="A190:A216"/>
    <mergeCell ref="H191:H217"/>
    <mergeCell ref="A219:A238"/>
    <mergeCell ref="H220:H239"/>
  </mergeCells>
  <pageMargins left="0.7" right="0.7" top="0.75" bottom="0.75" header="0.3" footer="0.3"/>
  <pageSetup orientation="portrait" r:id="rId1"/>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86E9F-5403-44F3-B135-5D4C7BB54238}">
  <sheetPr>
    <tabColor theme="0"/>
  </sheetPr>
  <dimension ref="A1:U121"/>
  <sheetViews>
    <sheetView zoomScaleNormal="100" workbookViewId="0">
      <selection activeCell="C26" sqref="C26"/>
    </sheetView>
  </sheetViews>
  <sheetFormatPr defaultColWidth="9.3046875" defaultRowHeight="14.6" x14ac:dyDescent="0.4"/>
  <cols>
    <col min="1" max="1" width="5.69140625" style="39" customWidth="1"/>
    <col min="2" max="2" width="25.53515625" style="39" bestFit="1" customWidth="1"/>
    <col min="3" max="3" width="15.69140625" style="49" bestFit="1" customWidth="1"/>
    <col min="4" max="4" width="5.69140625" style="39" customWidth="1"/>
    <col min="5" max="5" width="9.3046875" style="39"/>
    <col min="6" max="6" width="14.3046875" style="39" bestFit="1" customWidth="1"/>
    <col min="7" max="7" width="9.3046875" style="39"/>
    <col min="8" max="8" width="5.69140625" style="39" customWidth="1"/>
    <col min="9" max="18" width="9.3046875" style="39"/>
    <col min="19" max="19" width="10.15234375" style="39" bestFit="1" customWidth="1"/>
    <col min="20" max="21" width="9.3046875" style="39" bestFit="1" customWidth="1"/>
    <col min="22" max="16384" width="9.3046875" style="39"/>
  </cols>
  <sheetData>
    <row r="1" spans="1:10" x14ac:dyDescent="0.4">
      <c r="A1" s="40" t="s">
        <v>254</v>
      </c>
    </row>
    <row r="2" spans="1:10" x14ac:dyDescent="0.4">
      <c r="B2" s="77" t="s">
        <v>139</v>
      </c>
    </row>
    <row r="3" spans="1:10" x14ac:dyDescent="0.4">
      <c r="B3" s="39" t="s">
        <v>141</v>
      </c>
      <c r="E3" s="77" t="s">
        <v>298</v>
      </c>
    </row>
    <row r="4" spans="1:10" x14ac:dyDescent="0.4">
      <c r="B4" s="78" t="s">
        <v>293</v>
      </c>
      <c r="C4" s="79">
        <f>Contributions!K15</f>
        <v>12857284.462265246</v>
      </c>
      <c r="E4" s="53" t="s">
        <v>137</v>
      </c>
      <c r="F4" s="92">
        <f>SUMIF('10146'!$E:$E,E4,'10146'!$H:$H)+SUMIF('20179'!$E:$E,E4,'20179'!$H:$H)+SUMIF('20431'!$E:$E,E4,'20431'!$H:$H)+SUMIF('20478'!$E:$E,E4,'20478'!$H:$H)+SUMIF('20489'!$E:$E,E4,'20489'!$H:$H)+SUMIF('20577'!$E:$E,E4,'20577'!$H:$H)+SUMIF('20667'!$E:$E,E4,'20667'!$H:$H)+SUMIF('20668'!$E:$E,E4,'20668'!$H:$H)+SUMIF('20698'!$E:$E,E4,'20698'!$H:$H)+SUMIF('20701'!$E:$E,E4,'20701'!$H:$H)+SUMIF('20723'!$E:$E,E4,'20723'!$H:$H)+SUMIF('20724'!$E:$E,E4,'20724'!$H:$H)+SUMIF('20767'!$E:$E,E4,'20767'!$H:$H)+SUMIF('20772'!$E:$E,E4,'20772'!$H:$H)+SUMIF('20811'!$E:$E,E4,'20811'!$H:$H)+SUMIF('20812'!$E:$E,E4,'20812'!$H:$H)+SUMIF('20857'!$E:$E,E4,'20857'!$H:$H)+SUMIF('20884'!$E:$E,E4,'20884'!$H:$H)+SUMIF('20885'!$E:$E,E4,'20885'!$H:$H)+SUMIF('20911'!$E:$E,E4,'20911'!$H:$H)+SUMIF('20912'!$E:$E,E4,'20912'!$H:$H)+SUMIF('20913'!$E:$E,E4,'20913'!$H:$H)+SUMIF('20922'!$E:$E,E4,'20922'!$H:$H)+SUMIF('20924'!$E:$E,E4,'20924'!$H:$H)+SUMIF('20925'!$E:$E,E4,'20925'!$H:$H)+SUMIF('20936'!$E:$E,E4,'20936'!$H:$H)+SUMIF('20940'!$E:$E,E4,'20940'!$H:$H)+SUMIF('20945'!$E:$E,E4,'20945'!$H:$H)+SUMIF('20958'!$E:$E,E4,'20958'!$H:$H)+SUMIF('20962'!$E:$E,E4,'20962'!$H:$H)+SUMIF('20982'!$E:$E,E4,'20982'!$H:$H)+SUMIF('20984'!$E:$E,E4,'20984'!$H:$H)+SUMIF('21004'!$E:$E,E4,'21004'!$H:$H)+SUMIF('21010'!$E:$E,E4,'21010'!$H:$H)+SUMIF('21035'!$E:$E,E4,'21035'!$H:$H)+SUMIF('21066'!$E:$E,E4,'21066'!$H:$H)+SUMIF('21067'!$E:$E,E4,'21067'!$H:$H)+SUMIF('21068'!$E:$E,E4,'21068'!$H:$H)+SUMIF('21070'!$E:$E,E4,'21070'!$H:$H)+SUMIF('21071'!$E:$E,E4,'21071'!$H:$H)+SUMIF('21094'!$E:$E,E4,'21094'!$H:$H)+SUMIF('21108'!$E:$E,E4,'21108'!$H:$H)+SUMIF('21113'!$E:$E,E4,'21113'!$H:$H)+SUMIF('21114'!$E:$E,E4,'21114'!$H:$H)</f>
        <v>0</v>
      </c>
    </row>
    <row r="5" spans="1:10" x14ac:dyDescent="0.4">
      <c r="B5" s="80" t="s">
        <v>144</v>
      </c>
      <c r="C5" s="81">
        <f>SUM(C1:C4)</f>
        <v>12857284.462265246</v>
      </c>
      <c r="J5" s="53"/>
    </row>
    <row r="8" spans="1:10" x14ac:dyDescent="0.4">
      <c r="B8" s="39" t="s">
        <v>142</v>
      </c>
      <c r="F8" s="54"/>
    </row>
    <row r="9" spans="1:10" x14ac:dyDescent="0.4">
      <c r="B9" s="53" t="s">
        <v>396</v>
      </c>
      <c r="C9" s="92">
        <f>SUMIF('10146'!$E:$E,B9,'10146'!$H:$H)+SUMIF('20179'!$E:$E,B9,'20179'!$H:$H)+SUMIF('20431'!$E:$E,B9,'20431'!$H:$H)+SUMIF('20478'!$E:$E,B9,'20478'!$H:$H)+SUMIF('20489'!$E:$E,B9,'20489'!$H:$H)+SUMIF('20577'!$E:$E,B9,'20577'!$H:$H)+SUMIF('20667'!$E:$E,B9,'20667'!$H:$H)+SUMIF('20668'!$E:$E,B9,'20668'!$H:$H)+SUMIF('20698'!$E:$E,B9,'20698'!$H:$H)+SUMIF('20701'!$E:$E,B9,'20701'!$H:$H)+SUMIF('20723'!$E:$E,B9,'20723'!$H:$H)+SUMIF('20724'!$E:$E,B9,'20724'!$H:$H)+SUMIF('20767'!$E:$E,B9,'20767'!$H:$H)+SUMIF('20772'!$E:$E,B9,'20772'!$H:$H)+SUMIF('20811'!$E:$E,B9,'20811'!$H:$H)+SUMIF('20857'!$E:$E,B9,'20857'!$H:$H)+SUMIF('20884'!$E:$E,B9,'20884'!$H:$H)+SUMIF('20885'!$E:$E,B9,'20885'!$H:$H)+SUMIF('20911'!$E:$E,B9,'20911'!$H:$H)+SUMIF('20912'!$E:$E,B9,'20912'!$H:$H)+SUMIF('20936'!$E:$E,B9,'20936'!$H:$H)+SUMIF('20945'!$E:$E,B9,'20945'!$H:$H)+SUMIF('20958'!$E:$E,B9,'20958'!$H:$H)+SUMIF('20982'!$E:$E,B9,'20982'!$H:$H)</f>
        <v>1600000</v>
      </c>
      <c r="F9" s="82"/>
    </row>
    <row r="10" spans="1:10" x14ac:dyDescent="0.4">
      <c r="B10" s="53" t="s">
        <v>409</v>
      </c>
      <c r="C10" s="92">
        <f>SUMIF('10146'!$E:$E,B10,'10146'!$H:$H)+SUMIF('20179'!$E:$E,B10,'20179'!$H:$H)+SUMIF('20431'!$E:$E,B10,'20431'!$H:$H)+SUMIF('20478'!$E:$E,B10,'20478'!$H:$H)+SUMIF('20489'!$E:$E,B10,'20489'!$H:$H)+SUMIF('20577'!$E:$E,B10,'20577'!$H:$H)+SUMIF('20667'!$E:$E,B10,'20667'!$H:$H)+SUMIF('20668'!$E:$E,B10,'20668'!$H:$H)+SUMIF('20698'!$E:$E,B10,'20698'!$H:$H)+SUMIF('20701'!$E:$E,B10,'20701'!$H:$H)+SUMIF('20723'!$E:$E,B10,'20723'!$H:$H)+SUMIF('20724'!$E:$E,B10,'20724'!$H:$H)+SUMIF('20767'!$E:$E,B10,'20767'!$H:$H)+SUMIF('20772'!$E:$E,B10,'20772'!$H:$H)+SUMIF('20811'!$E:$E,B10,'20811'!$H:$H)+SUMIF('20812'!$E:$E,B10,'20812'!$H:$H)+SUMIF('20857'!$E:$E,B10,'20857'!$H:$H)+SUMIF('20884'!$E:$E,B10,'20884'!$H:$H)+SUMIF('20885'!$E:$E,B10,'20885'!$H:$H)+SUMIF('20911'!$E:$E,B10,'20911'!$H:$H)+SUMIF('20912'!$E:$E,B10,'20912'!$H:$H)+SUMIF('20913'!$E:$E,B10,'20913'!$H:$H)+SUMIF('20922'!$E:$E,B10,'20922'!$H:$H)+SUMIF('20924'!$E:$E,B10,'20924'!$H:$H)+SUMIF('20936'!$E:$E,B10,'20936'!$H:$H)+SUMIF('20945'!$E:$E,B10,'20945'!$H:$H)+SUMIF('20958'!$E:$E,B10,'20958'!$H:$H)+SUMIF('20982'!$E:$E,B10,'20982'!$H:$H)+SUMIF('20984'!$E:$E,B10,'20984'!$H:$H)</f>
        <v>188988.14</v>
      </c>
      <c r="F10" s="82"/>
    </row>
    <row r="11" spans="1:10" x14ac:dyDescent="0.4">
      <c r="B11" s="53" t="s">
        <v>412</v>
      </c>
      <c r="C11" s="92">
        <f>SUMIF('10146'!$E:$E,B11,'10146'!$H:$H)+SUMIF('20179'!$E:$E,B11,'20179'!$H:$H)+SUMIF('20431'!$E:$E,B11,'20431'!$H:$H)+SUMIF('20478'!$E:$E,B11,'20478'!$H:$H)+SUMIF('20489'!$E:$E,B11,'20489'!$H:$H)+SUMIF('20577'!$E:$E,B11,'20577'!$H:$H)+SUMIF('20667'!$E:$E,B11,'20667'!$H:$H)+SUMIF('20668'!$E:$E,B11,'20668'!$H:$H)+SUMIF('20698'!$E:$E,B11,'20698'!$H:$H)+SUMIF('20701'!$E:$E,B11,'20701'!$H:$H)+SUMIF('20723'!$E:$E,B11,'20723'!$H:$H)+SUMIF('20724'!$E:$E,B11,'20724'!$H:$H)+SUMIF('20767'!$E:$E,B11,'20767'!$H:$H)+SUMIF('20772'!$E:$E,B11,'20772'!$H:$H)+SUMIF('20811'!$E:$E,B11,'20811'!$H:$H)+SUMIF('20812'!$E:$E,B11,'20812'!$H:$H)+SUMIF('20857'!$E:$E,B11,'20857'!$H:$H)+SUMIF('20884'!$E:$E,B11,'20884'!$H:$H)+SUMIF('20885'!$E:$E,B11,'20885'!$H:$H)+SUMIF('20911'!$E:$E,B11,'20911'!$H:$H)+SUMIF('20912'!$E:$E,B11,'20912'!$H:$H)+SUMIF('20913'!$E:$E,B11,'20913'!$H:$H)+SUMIF('20922'!$E:$E,B11,'20922'!$H:$H)+SUMIF('20924'!$E:$E,B11,'20924'!$H:$H)+SUMIF('20936'!$E:$E,B11,'20936'!$H:$H)+SUMIF('20945'!$E:$E,B11,'20945'!$H:$H)+SUMIF('20958'!$E:$E,B11,'20958'!$H:$H)+SUMIF('20982'!$E:$E,B11,'20982'!$H:$H)+SUMIF('20984'!$E:$E,B11,'20984'!$H:$H)+SUMIF('21004'!$E:$E,B11,'21004'!$H:$H)</f>
        <v>197000</v>
      </c>
      <c r="F11" s="82"/>
    </row>
    <row r="12" spans="1:10" x14ac:dyDescent="0.4">
      <c r="B12" s="53" t="s">
        <v>414</v>
      </c>
      <c r="C12" s="92">
        <f>SUMIF('10146'!$E:$E,B12,'10146'!$H:$H)+SUMIF('20179'!$E:$E,B12,'20179'!$H:$H)+SUMIF('20431'!$E:$E,B12,'20431'!$H:$H)+SUMIF('20478'!$E:$E,B12,'20478'!$H:$H)+SUMIF('20489'!$E:$E,B12,'20489'!$H:$H)+SUMIF('20577'!$E:$E,B12,'20577'!$H:$H)+SUMIF('20667'!$E:$E,B12,'20667'!$H:$H)+SUMIF('20668'!$E:$E,B12,'20668'!$H:$H)+SUMIF('20698'!$E:$E,B12,'20698'!$H:$H)+SUMIF('20701'!$E:$E,B12,'20701'!$H:$H)+SUMIF('20723'!$E:$E,B12,'20723'!$H:$H)+SUMIF('20724'!$E:$E,B12,'20724'!$H:$H)+SUMIF('20767'!$E:$E,B12,'20767'!$H:$H)+SUMIF('20772'!$E:$E,B12,'20772'!$H:$H)+SUMIF('20811'!$E:$E,B12,'20811'!$H:$H)+SUMIF('20812'!$E:$E,B12,'20812'!$H:$H)+SUMIF('20857'!$E:$E,B12,'20857'!$H:$H)+SUMIF('20884'!$E:$E,B12,'20884'!$H:$H)+SUMIF('20885'!$E:$E,B12,'20885'!$H:$H)+SUMIF('20911'!$E:$E,B12,'20911'!$H:$H)+SUMIF('20912'!$E:$E,B12,'20912'!$H:$H)+SUMIF('20913'!$E:$E,B12,'20913'!$H:$H)+SUMIF('20922'!$E:$E,B12,'20922'!$H:$H)+SUMIF('20924'!$E:$E,B12,'20924'!$H:$H)+SUMIF('20936'!$E:$E,B12,'20936'!$H:$H)+SUMIF('20945'!$E:$E,B12,'20945'!$H:$H)+SUMIF('20958'!$E:$E,B12,'20958'!$H:$H)+SUMIF('20982'!$E:$E,B12,'20982'!$H:$H)+SUMIF('20984'!$E:$E,B12,'20984'!$H:$H)+SUMIF('21004'!$E:$E,B12,'21004'!$H:$H)+SUMIF('20940'!$E:$E,B12,'20940'!$H:$H)</f>
        <v>3219114</v>
      </c>
      <c r="F12" s="82"/>
    </row>
    <row r="13" spans="1:10" x14ac:dyDescent="0.4">
      <c r="B13" s="53" t="s">
        <v>425</v>
      </c>
      <c r="C13" s="92">
        <f>SUMIF('10146'!$E:$E,B13,'10146'!$H:$H)+SUMIF('20179'!$E:$E,B13,'20179'!$H:$H)+SUMIF('20431'!$E:$E,B13,'20431'!$H:$H)+SUMIF('20478'!$E:$E,B13,'20478'!$H:$H)+SUMIF('20489'!$E:$E,B13,'20489'!$H:$H)+SUMIF('20577'!$E:$E,B13,'20577'!$H:$H)+SUMIF('20667'!$E:$E,B13,'20667'!$H:$H)+SUMIF('20668'!$E:$E,B13,'20668'!$H:$H)+SUMIF('20698'!$E:$E,B13,'20698'!$H:$H)+SUMIF('20701'!$E:$E,B13,'20701'!$H:$H)+SUMIF('20723'!$E:$E,B13,'20723'!$H:$H)+SUMIF('20724'!$E:$E,B13,'20724'!$H:$H)+SUMIF('20767'!$E:$E,B13,'20767'!$H:$H)+SUMIF('20772'!$E:$E,B13,'20772'!$H:$H)+SUMIF('20811'!$E:$E,B13,'20811'!$H:$H)+SUMIF('20812'!$E:$E,B13,'20812'!$H:$H)+SUMIF('20857'!$E:$E,B13,'20857'!$H:$H)+SUMIF('20884'!$E:$E,B13,'20884'!$H:$H)+SUMIF('20885'!$E:$E,B13,'20885'!$H:$H)+SUMIF('20911'!$E:$E,B13,'20911'!$H:$H)+SUMIF('20912'!$E:$E,B13,'20912'!$H:$H)+SUMIF('20913'!$E:$E,B13,'20913'!$H:$H)+SUMIF('20922'!$E:$E,B13,'20922'!$H:$H)+SUMIF('20924'!$E:$E,B13,'20924'!$H:$H)+SUMIF('20936'!$E:$E,B13,'20936'!$H:$H)+SUMIF('20945'!$E:$E,B13,'20945'!$H:$H)+SUMIF('20958'!$E:$E,B13,'20958'!$H:$H)+SUMIF('20982'!$E:$E,B13,'20982'!$H:$H)+SUMIF('20984'!$E:$E,B13,'20984'!$H:$H)+SUMIF('21004'!$E:$E,B13,'21004'!$H:$H)+SUMIF('20940'!$E:$E,B13,'20940'!$H:$H)</f>
        <v>1398860</v>
      </c>
      <c r="F13" s="82"/>
    </row>
    <row r="14" spans="1:10" x14ac:dyDescent="0.4">
      <c r="B14" s="53" t="s">
        <v>427</v>
      </c>
      <c r="C14" s="92">
        <f>SUMIF('10146'!$E:$E,B14,'10146'!$H:$H)+SUMIF('20179'!$E:$E,B14,'20179'!$H:$H)+SUMIF('20431'!$E:$E,B14,'20431'!$H:$H)+SUMIF('20478'!$E:$E,B14,'20478'!$H:$H)+SUMIF('20489'!$E:$E,B14,'20489'!$H:$H)+SUMIF('20577'!$E:$E,B14,'20577'!$H:$H)+SUMIF('20667'!$E:$E,B14,'20667'!$H:$H)+SUMIF('20668'!$E:$E,B14,'20668'!$H:$H)+SUMIF('20698'!$E:$E,B14,'20698'!$H:$H)+SUMIF('20701'!$E:$E,B14,'20701'!$H:$H)+SUMIF('20723'!$E:$E,B14,'20723'!$H:$H)+SUMIF('20724'!$E:$E,B14,'20724'!$H:$H)+SUMIF('20767'!$E:$E,B14,'20767'!$H:$H)+SUMIF('20772'!$E:$E,B14,'20772'!$H:$H)+SUMIF('20811'!$E:$E,B14,'20811'!$H:$H)+SUMIF('20812'!$E:$E,B14,'20812'!$H:$H)+SUMIF('20857'!$E:$E,B14,'20857'!$H:$H)+SUMIF('20884'!$E:$E,B14,'20884'!$H:$H)+SUMIF('20885'!$E:$E,B14,'20885'!$H:$H)+SUMIF('20911'!$E:$E,B14,'20911'!$H:$H)+SUMIF('20912'!$E:$E,B14,'20912'!$H:$H)+SUMIF('20913'!$E:$E,B14,'20913'!$H:$H)+SUMIF('20922'!$E:$E,B14,'20922'!$H:$H)+SUMIF('20924'!$E:$E,B14,'20924'!$H:$H)+SUMIF('20936'!$E:$E,B14,'20936'!$H:$H)+SUMIF('20945'!$E:$E,B14,'20945'!$H:$H)+SUMIF('20958'!$E:$E,B14,'20958'!$H:$H)+SUMIF('20982'!$E:$E,B14,'20982'!$H:$H)+SUMIF('20984'!$E:$E,B14,'20984'!$H:$H)+SUMIF('21004'!$E:$E,B14,'21004'!$H:$H)+SUMIF('20940'!$E:$E,B14,'20940'!$H:$H)+SUMIF('20962'!$E:$E,B14,'20962'!$H:$H)</f>
        <v>16559.64</v>
      </c>
      <c r="F14" s="82"/>
    </row>
    <row r="15" spans="1:10" x14ac:dyDescent="0.4">
      <c r="B15" s="53" t="s">
        <v>448</v>
      </c>
      <c r="C15" s="92">
        <f>SUMIF('10146'!$E:$E,B15,'10146'!$H:$H)+SUMIF('20179'!$E:$E,B15,'20179'!$H:$H)+SUMIF('20431'!$E:$E,B15,'20431'!$H:$H)+SUMIF('20478'!$E:$E,B15,'20478'!$H:$H)+SUMIF('20489'!$E:$E,B15,'20489'!$H:$H)+SUMIF('20577'!$E:$E,B15,'20577'!$H:$H)+SUMIF('20667'!$E:$E,B15,'20667'!$H:$H)+SUMIF('20668'!$E:$E,B15,'20668'!$H:$H)+SUMIF('20698'!$E:$E,B15,'20698'!$H:$H)+SUMIF('20701'!$E:$E,B15,'20701'!$H:$H)+SUMIF('20723'!$E:$E,B15,'20723'!$H:$H)+SUMIF('20724'!$E:$E,B15,'20724'!$H:$H)+SUMIF('20767'!$E:$E,B15,'20767'!$H:$H)+SUMIF('20772'!$E:$E,B15,'20772'!$H:$H)+SUMIF('20811'!$E:$E,B15,'20811'!$H:$H)+SUMIF('20812'!$E:$E,B15,'20812'!$H:$H)+SUMIF('20857'!$E:$E,B15,'20857'!$H:$H)+SUMIF('20884'!$E:$E,B15,'20884'!$H:$H)+SUMIF('20885'!$E:$E,B15,'20885'!$H:$H)+SUMIF('20911'!$E:$E,B15,'20911'!$H:$H)+SUMIF('20912'!$E:$E,B15,'20912'!$H:$H)+SUMIF('20913'!$E:$E,B15,'20913'!$H:$H)+SUMIF('20922'!$E:$E,B15,'20922'!$H:$H)+SUMIF('20924'!$E:$E,B15,'20924'!$H:$H)+SUMIF('20936'!$E:$E,B15,'20936'!$H:$H)+SUMIF('20945'!$E:$E,B15,'20945'!$H:$H)+SUMIF('20958'!$E:$E,B15,'20958'!$H:$H)+SUMIF('20982'!$E:$E,B15,'20982'!$H:$H)+SUMIF('20984'!$E:$E,B15,'20984'!$H:$H)+SUMIF('20940'!$E:$E,B15,'20940'!$H:$H)+SUMIF('20962'!$E:$E,B15,'20962'!$H:$H)+SUMIF('21004'!$E:$E,B15,'21004'!$H:$H)+SUMIF('21010'!$E:$E,B15,'21010'!$H:$H)+SUMIF('21066'!$E:$E,B15,'21066'!$H:$H)+SUMIF('21067'!$E:$E,B15,'21067'!$H:$H)+SUMIF('21068'!$E:$E,B15,'21068'!$H:$H)+SUMIF('21071'!$E:$E,B15,'21071'!$H:$H)+SUMIF('21094'!$E:$E,B15,'21094'!$H:$H)+SUMIF('21108'!$E:$E,B15,'21108'!$H:$H)</f>
        <v>348561.4</v>
      </c>
      <c r="F15" s="82"/>
    </row>
    <row r="16" spans="1:10" x14ac:dyDescent="0.4">
      <c r="B16" s="53" t="s">
        <v>451</v>
      </c>
      <c r="C16" s="92">
        <f>SUMIF('10146'!$E:$E,B16,'10146'!$H:$H)+SUMIF('20179'!$E:$E,B16,'20179'!$H:$H)+SUMIF('20431'!$E:$E,B16,'20431'!$H:$H)+SUMIF('20478'!$E:$E,B16,'20478'!$H:$H)+SUMIF('20489'!$E:$E,B16,'20489'!$H:$H)+SUMIF('20577'!$E:$E,B16,'20577'!$H:$H)+SUMIF('20667'!$E:$E,B16,'20667'!$H:$H)+SUMIF('20668'!$E:$E,B16,'20668'!$H:$H)+SUMIF('20698'!$E:$E,B16,'20698'!$H:$H)+SUMIF('20701'!$E:$E,B16,'20701'!$H:$H)+SUMIF('20723'!$E:$E,B16,'20723'!$H:$H)+SUMIF('20724'!$E:$E,B16,'20724'!$H:$H)+SUMIF('20767'!$E:$E,B16,'20767'!$H:$H)+SUMIF('20772'!$E:$E,B16,'20772'!$H:$H)+SUMIF('20811'!$E:$E,B16,'20811'!$H:$H)+SUMIF('20812'!$E:$E,B16,'20812'!$H:$H)+SUMIF('20857'!$E:$E,B16,'20857'!$H:$H)+SUMIF('20884'!$E:$E,B16,'20884'!$H:$H)+SUMIF('20885'!$E:$E,B16,'20885'!$H:$H)+SUMIF('20911'!$E:$E,B16,'20911'!$H:$H)+SUMIF('20912'!$E:$E,B16,'20912'!$H:$H)+SUMIF('20913'!$E:$E,B16,'20913'!$H:$H)+SUMIF('20922'!$E:$E,B16,'20922'!$H:$H)+SUMIF('20924'!$E:$E,B16,'20924'!$H:$H)+SUMIF('20936'!$E:$E,B16,'20936'!$H:$H)+SUMIF('20945'!$E:$E,B16,'20945'!$H:$H)+SUMIF('20958'!$E:$E,B16,'20958'!$H:$H)+SUMIF('20982'!$E:$E,B16,'20982'!$H:$H)+SUMIF('20984'!$E:$E,B16,'20984'!$H:$H)+SUMIF('20940'!$E:$E,B16,'20940'!$H:$H)+SUMIF('20962'!$E:$E,B16,'20962'!$H:$H)+SUMIF('21004'!$E:$E,B16,'21004'!$H:$H)+SUMIF('21010'!$E:$E,B16,'21010'!$H:$H)+SUMIF('21066'!$E:$E,B16,'21066'!$H:$H)+SUMIF('21067'!$E:$E,B16,'21067'!$H:$H)+SUMIF('21068'!$E:$E,B16,'21068'!$H:$H)+SUMIF('21070'!$E:$E,B16,'21070'!$H:$H)+SUMIF('21071'!$E:$E,B16,'21071'!$H:$H)+SUMIF('21094'!$E:$E,B16,'21094'!$H:$H)+SUMIF('21108'!$E:$E,B16,'21108'!$H:$H)</f>
        <v>392042.1</v>
      </c>
      <c r="F16" s="82"/>
    </row>
    <row r="17" spans="1:21" x14ac:dyDescent="0.4">
      <c r="B17" s="53" t="s">
        <v>452</v>
      </c>
      <c r="C17" s="92">
        <f>SUMIF('10146'!$E:$E,B17,'10146'!$H:$H)+SUMIF('20179'!$E:$E,B17,'20179'!$H:$H)+SUMIF('20431'!$E:$E,B17,'20431'!$H:$H)+SUMIF('20478'!$E:$E,B17,'20478'!$H:$H)+SUMIF('20489'!$E:$E,B17,'20489'!$H:$H)+SUMIF('20577'!$E:$E,B17,'20577'!$H:$H)+SUMIF('20667'!$E:$E,B17,'20667'!$H:$H)+SUMIF('20668'!$E:$E,B17,'20668'!$H:$H)+SUMIF('20698'!$E:$E,B17,'20698'!$H:$H)+SUMIF('20701'!$E:$E,B17,'20701'!$H:$H)+SUMIF('20723'!$E:$E,B17,'20723'!$H:$H)+SUMIF('20724'!$E:$E,B17,'20724'!$H:$H)+SUMIF('20767'!$E:$E,B17,'20767'!$H:$H)+SUMIF('20772'!$E:$E,B17,'20772'!$H:$H)+SUMIF('20811'!$E:$E,B17,'20811'!$H:$H)+SUMIF('20812'!$E:$E,B17,'20812'!$H:$H)+SUMIF('20857'!$E:$E,B17,'20857'!$H:$H)+SUMIF('20884'!$E:$E,B17,'20884'!$H:$H)+SUMIF('20885'!$E:$E,B17,'20885'!$H:$H)+SUMIF('20911'!$E:$E,B17,'20911'!$H:$H)+SUMIF('20912'!$E:$E,B17,'20912'!$H:$H)+SUMIF('20913'!$E:$E,B17,'20913'!$H:$H)+SUMIF('20922'!$E:$E,B17,'20922'!$H:$H)+SUMIF('20924'!$E:$E,B17,'20924'!$H:$H)+SUMIF('20936'!$E:$E,B17,'20936'!$H:$H)+SUMIF('20945'!$E:$E,B17,'20945'!$H:$H)+SUMIF('20958'!$E:$E,B17,'20958'!$H:$H)+SUMIF('20982'!$E:$E,B17,'20982'!$H:$H)+SUMIF('20984'!$E:$E,B17,'20984'!$H:$H)+SUMIF('20940'!$E:$E,B17,'20940'!$H:$H)+SUMIF('20962'!$E:$E,B17,'20962'!$H:$H)+SUMIF('21004'!$E:$E,B17,'21004'!$H:$H)+SUMIF('21010'!$E:$E,B17,'21010'!$H:$H)+SUMIF('21066'!$E:$E,B17,'21066'!$H:$H)+SUMIF('21067'!$E:$E,B17,'21067'!$H:$H)+SUMIF('21068'!$E:$E,B17,'21068'!$H:$H)+SUMIF('21070'!$E:$E,B17,'21070'!$H:$H)+SUMIF('21071'!$E:$E,B17,'21071'!$H:$H)+SUMIF('21094'!$E:$E,B17,'21094'!$H:$H)+SUMIF('21108'!$E:$E,B17,'21108'!$H:$H)</f>
        <v>447635</v>
      </c>
      <c r="F17" s="49"/>
    </row>
    <row r="18" spans="1:21" x14ac:dyDescent="0.4">
      <c r="B18" s="53" t="s">
        <v>456</v>
      </c>
      <c r="C18" s="92">
        <f>SUMIF('10146'!$E:$E,B18,'10146'!$H:$H)+SUMIF('20179'!$E:$E,B18,'20179'!$H:$H)+SUMIF('20431'!$E:$E,B18,'20431'!$H:$H)+SUMIF('20478'!$E:$E,B18,'20478'!$H:$H)+SUMIF('20489'!$E:$E,B18,'20489'!$H:$H)+SUMIF('20577'!$E:$E,B18,'20577'!$H:$H)+SUMIF('20667'!$E:$E,B18,'20667'!$H:$H)+SUMIF('20668'!$E:$E,B18,'20668'!$H:$H)+SUMIF('20698'!$E:$E,B18,'20698'!$H:$H)+SUMIF('20701'!$E:$E,B18,'20701'!$H:$H)+SUMIF('20723'!$E:$E,B18,'20723'!$H:$H)+SUMIF('20724'!$E:$E,B18,'20724'!$H:$H)+SUMIF('20767'!$E:$E,B18,'20767'!$H:$H)+SUMIF('20772'!$E:$E,B18,'20772'!$H:$H)+SUMIF('20811'!$E:$E,B18,'20811'!$H:$H)+SUMIF('20812'!$E:$E,B18,'20812'!$H:$H)+SUMIF('20857'!$E:$E,B18,'20857'!$H:$H)+SUMIF('20884'!$E:$E,B18,'20884'!$H:$H)+SUMIF('20885'!$E:$E,B18,'20885'!$H:$H)+SUMIF('20911'!$E:$E,B18,'20911'!$H:$H)+SUMIF('20912'!$E:$E,B18,'20912'!$H:$H)+SUMIF('20913'!$E:$E,B18,'20913'!$H:$H)+SUMIF('20922'!$E:$E,B18,'20922'!$H:$H)+SUMIF('20924'!$E:$E,B18,'20924'!$H:$H)+SUMIF('20925'!$E:$E,B18,'20925'!$H:$H)+SUMIF('20936'!$E:$E,B18,'20936'!$H:$H)+SUMIF('20940'!$E:$E,B18,'20940'!$H:$H)+SUMIF('20945'!$E:$E,B18,'20945'!$H:$H)+SUMIF('20958'!$E:$E,B18,'20958'!$H:$H)+SUMIF('20962'!$E:$E,B18,'20962'!$H:$H)+SUMIF('20982'!$E:$E,B18,'20982'!$H:$H)+SUMIF('20984'!$E:$E,B18,'20984'!$H:$H)+SUMIF('21004'!$E:$E,B18,'21004'!$H:$H)+SUMIF('21010'!$E:$E,B18,'21010'!$H:$H)+SUMIF('21035'!$E:$E,B18,'21035'!$H:$H)+SUMIF('21066'!$E:$E,B18,'21066'!$H:$H)+SUMIF('21067'!$E:$E,B18,'21067'!$H:$H)+SUMIF('21068'!$E:$E,B18,'21068'!$H:$H)+SUMIF('21070'!$E:$E,B18,'21070'!$H:$H)+SUMIF('21071'!$E:$E,B18,'21071'!$H:$H)+SUMIF('21094'!$E:$E,B18,'21094'!$H:$H)+SUMIF('21108'!$E:$E,B18,'21108'!$H:$H)+SUMIF('21114'!$E:$E,B18,'21114'!$H:$H)</f>
        <v>1756513.16</v>
      </c>
      <c r="F18" s="49"/>
    </row>
    <row r="19" spans="1:21" x14ac:dyDescent="0.4">
      <c r="B19" s="53" t="s">
        <v>552</v>
      </c>
      <c r="C19" s="92">
        <f>SUMIF('10146'!$E:$E,B19,'10146'!$H:$H)+SUMIF('20179'!$E:$E,B19,'20179'!$H:$H)+SUMIF('20431'!$E:$E,B19,'20431'!$H:$H)+SUMIF('20478'!$E:$E,B19,'20478'!$H:$H)+SUMIF('20489'!$E:$E,B19,'20489'!$H:$H)+SUMIF('20577'!$E:$E,B19,'20577'!$H:$H)+SUMIF('20667'!$E:$E,B19,'20667'!$H:$H)+SUMIF('20668'!$E:$E,B19,'20668'!$H:$H)+SUMIF('20698'!$E:$E,B19,'20698'!$H:$H)+SUMIF('20701'!$E:$E,B19,'20701'!$H:$H)+SUMIF('20723'!$E:$E,B19,'20723'!$H:$H)+SUMIF('20724'!$E:$E,B19,'20724'!$H:$H)+SUMIF('20767'!$E:$E,B19,'20767'!$H:$H)+SUMIF('20772'!$E:$E,B19,'20772'!$H:$H)+SUMIF('20811'!$E:$E,B19,'20811'!$H:$H)+SUMIF('20812'!$E:$E,B19,'20812'!$H:$H)+SUMIF('20857'!$E:$E,B19,'20857'!$H:$H)+SUMIF('20884'!$E:$E,B19,'20884'!$H:$H)+SUMIF('20885'!$E:$E,B19,'20885'!$H:$H)+SUMIF('20911'!$E:$E,B19,'20911'!$H:$H)+SUMIF('20912'!$E:$E,B19,'20912'!$H:$H)+SUMIF('20913'!$E:$E,B19,'20913'!$H:$H)+SUMIF('20922'!$E:$E,B19,'20922'!$H:$H)+SUMIF('20924'!$E:$E,B19,'20924'!$H:$H)+SUMIF('20925'!$E:$E,B19,'20925'!$H:$H)+SUMIF('20936'!$E:$E,B19,'20936'!$H:$H)+SUMIF('20940'!$E:$E,B19,'20940'!$H:$H)+SUMIF('20945'!$E:$E,B19,'20945'!$H:$H)+SUMIF('20958'!$E:$E,B19,'20958'!$H:$H)+SUMIF('20962'!$E:$E,B19,'20962'!$H:$H)+SUMIF('20979'!$E:$E,B19,'20979'!$H:$H)+SUMIF('20982'!$E:$E,B19,'20982'!$H:$H)+SUMIF('20984'!$E:$E,B19,'20984'!$H:$H)+SUMIF('21004'!$E:$E,B19,'21004'!$H:$H)+SUMIF('21010'!$E:$E,B19,'21010'!$H:$H)+SUMIF('21035'!$E:$E,B19,'21035'!$H:$H)+SUMIF('21066'!$E:$E,B19,'21066'!$H:$H)+SUMIF('21067'!$E:$E,B19,'21067'!$H:$H)+SUMIF('21068'!$E:$E,B19,'21068'!$H:$H)+SUMIF('21070'!$E:$E,B19,'21070'!$H:$H)+SUMIF('21071'!$E:$E,B19,'21071'!$H:$H)+SUMIF('21094'!$E:$E,B19,'21094'!$H:$H)+SUMIF('21108'!$E:$E,B19,'21108'!$H:$H)+SUMIF('21113'!$E:$E,B19,'21113'!$H:$H)+SUMIF('21114'!$E:$E,B19,'21114'!$H:$H)</f>
        <v>605805</v>
      </c>
    </row>
    <row r="20" spans="1:21" x14ac:dyDescent="0.4">
      <c r="B20" s="78"/>
      <c r="C20" s="79"/>
    </row>
    <row r="21" spans="1:21" x14ac:dyDescent="0.4">
      <c r="A21" s="50"/>
      <c r="B21" s="83" t="s">
        <v>143</v>
      </c>
      <c r="C21" s="84">
        <f>SUM(C9:C20)</f>
        <v>10171078.439999999</v>
      </c>
      <c r="D21" s="50"/>
      <c r="H21" s="50"/>
    </row>
    <row r="23" spans="1:21" x14ac:dyDescent="0.4">
      <c r="B23" s="53" t="s">
        <v>618</v>
      </c>
      <c r="C23" s="49">
        <f>'JE LOG_FY24'!C26</f>
        <v>169023.08999999985</v>
      </c>
    </row>
    <row r="24" spans="1:21" x14ac:dyDescent="0.4">
      <c r="B24" s="53" t="s">
        <v>619</v>
      </c>
      <c r="C24" s="49">
        <f>F4</f>
        <v>0</v>
      </c>
      <c r="S24" s="87" t="s">
        <v>321</v>
      </c>
      <c r="T24" s="87" t="s">
        <v>322</v>
      </c>
    </row>
    <row r="25" spans="1:21" x14ac:dyDescent="0.4">
      <c r="S25" s="88"/>
      <c r="T25" s="88">
        <v>38500</v>
      </c>
    </row>
    <row r="26" spans="1:21" x14ac:dyDescent="0.4">
      <c r="A26" s="50"/>
      <c r="B26" s="85" t="s">
        <v>135</v>
      </c>
      <c r="C26" s="86">
        <f>C5-C21+C23-C24</f>
        <v>2855229.112265246</v>
      </c>
      <c r="D26" s="50"/>
      <c r="H26" s="50"/>
      <c r="S26" s="88"/>
      <c r="T26" s="88">
        <v>243454</v>
      </c>
    </row>
    <row r="27" spans="1:21" x14ac:dyDescent="0.4">
      <c r="S27" s="88">
        <v>92965.86</v>
      </c>
      <c r="T27" s="88"/>
    </row>
    <row r="28" spans="1:21" x14ac:dyDescent="0.4">
      <c r="S28" s="89">
        <f>SUM(S25:S27)</f>
        <v>92965.86</v>
      </c>
      <c r="T28" s="89">
        <f>SUM(T25:T27)</f>
        <v>281954</v>
      </c>
      <c r="U28" s="90">
        <f>SUM(S28:T28)</f>
        <v>374919.86</v>
      </c>
    </row>
    <row r="29" spans="1:21" x14ac:dyDescent="0.4">
      <c r="T29" s="91">
        <f>T28-S28</f>
        <v>188988.14</v>
      </c>
    </row>
    <row r="65" spans="19:21" x14ac:dyDescent="0.4">
      <c r="S65" s="87" t="s">
        <v>321</v>
      </c>
      <c r="T65" s="87" t="s">
        <v>322</v>
      </c>
    </row>
    <row r="66" spans="19:21" x14ac:dyDescent="0.4">
      <c r="S66" s="88"/>
      <c r="T66" s="88">
        <v>1800</v>
      </c>
    </row>
    <row r="67" spans="19:21" x14ac:dyDescent="0.4">
      <c r="S67" s="88"/>
      <c r="T67" s="88">
        <v>14759.64</v>
      </c>
    </row>
    <row r="68" spans="19:21" x14ac:dyDescent="0.4">
      <c r="S68" s="88">
        <v>33119.279999999999</v>
      </c>
      <c r="T68" s="88"/>
    </row>
    <row r="69" spans="19:21" x14ac:dyDescent="0.4">
      <c r="S69" s="89">
        <f>SUM(S66:S68)</f>
        <v>33119.279999999999</v>
      </c>
      <c r="T69" s="89">
        <f>SUM(T66:T68)</f>
        <v>16559.64</v>
      </c>
      <c r="U69" s="90">
        <f>SUM(S69:T69)</f>
        <v>49678.92</v>
      </c>
    </row>
    <row r="70" spans="19:21" x14ac:dyDescent="0.4">
      <c r="T70" s="91">
        <f>T69-S69</f>
        <v>-16559.64</v>
      </c>
    </row>
    <row r="73" spans="19:21" x14ac:dyDescent="0.4">
      <c r="S73" s="87" t="s">
        <v>321</v>
      </c>
      <c r="T73" s="87" t="s">
        <v>322</v>
      </c>
    </row>
    <row r="74" spans="19:21" x14ac:dyDescent="0.4">
      <c r="S74" s="88">
        <v>5000</v>
      </c>
      <c r="T74" s="88">
        <v>34837.4</v>
      </c>
    </row>
    <row r="75" spans="19:21" x14ac:dyDescent="0.4">
      <c r="S75" s="88">
        <v>13000</v>
      </c>
      <c r="T75" s="88">
        <v>19440</v>
      </c>
    </row>
    <row r="76" spans="19:21" x14ac:dyDescent="0.4">
      <c r="S76" s="88">
        <v>19440</v>
      </c>
      <c r="T76" s="88">
        <v>29160</v>
      </c>
    </row>
    <row r="77" spans="19:21" x14ac:dyDescent="0.4">
      <c r="S77" s="88">
        <v>29160</v>
      </c>
      <c r="T77" s="88">
        <v>5000</v>
      </c>
    </row>
    <row r="78" spans="19:21" x14ac:dyDescent="0.4">
      <c r="S78" s="88">
        <v>33600</v>
      </c>
      <c r="T78" s="88">
        <v>126024</v>
      </c>
    </row>
    <row r="79" spans="19:21" x14ac:dyDescent="0.4">
      <c r="S79" s="88">
        <v>34837.4</v>
      </c>
      <c r="T79" s="88">
        <v>13000</v>
      </c>
    </row>
    <row r="80" spans="19:21" x14ac:dyDescent="0.4">
      <c r="S80" s="88">
        <v>87500</v>
      </c>
      <c r="T80" s="88">
        <v>33600</v>
      </c>
    </row>
    <row r="81" spans="19:21" x14ac:dyDescent="0.4">
      <c r="S81" s="88">
        <v>126024</v>
      </c>
      <c r="T81" s="88">
        <v>87500</v>
      </c>
    </row>
    <row r="82" spans="19:21" x14ac:dyDescent="0.4">
      <c r="S82" s="89">
        <f>SUM(S74:S81)</f>
        <v>348561.4</v>
      </c>
      <c r="T82" s="93">
        <f>SUM(T74:T81)</f>
        <v>348561.4</v>
      </c>
      <c r="U82" s="90">
        <f>SUM(S82:T82)</f>
        <v>697122.8</v>
      </c>
    </row>
    <row r="83" spans="19:21" x14ac:dyDescent="0.4">
      <c r="T83" s="91">
        <f>T82-S82</f>
        <v>0</v>
      </c>
    </row>
    <row r="100" spans="19:21" x14ac:dyDescent="0.4">
      <c r="S100" s="87" t="s">
        <v>321</v>
      </c>
      <c r="T100" s="87" t="s">
        <v>322</v>
      </c>
    </row>
    <row r="101" spans="19:21" x14ac:dyDescent="0.4">
      <c r="S101" s="88"/>
      <c r="T101" s="88">
        <v>447635</v>
      </c>
    </row>
    <row r="102" spans="19:21" x14ac:dyDescent="0.4">
      <c r="S102" s="88">
        <v>447635</v>
      </c>
      <c r="T102" s="88"/>
    </row>
    <row r="103" spans="19:21" x14ac:dyDescent="0.4">
      <c r="S103" s="89">
        <f>SUM(S101:S102)</f>
        <v>447635</v>
      </c>
      <c r="T103" s="89">
        <f>SUM(T101:T102)</f>
        <v>447635</v>
      </c>
      <c r="U103" s="90">
        <f>SUM(S103:T103)</f>
        <v>895270</v>
      </c>
    </row>
    <row r="104" spans="19:21" x14ac:dyDescent="0.4">
      <c r="T104" s="91">
        <f>T103-S103</f>
        <v>0</v>
      </c>
    </row>
    <row r="116" spans="19:21" x14ac:dyDescent="0.4">
      <c r="S116" s="87" t="s">
        <v>321</v>
      </c>
      <c r="T116" s="87" t="s">
        <v>322</v>
      </c>
    </row>
    <row r="117" spans="19:21" x14ac:dyDescent="0.4">
      <c r="S117" s="88"/>
      <c r="T117" s="88">
        <v>529750</v>
      </c>
    </row>
    <row r="118" spans="19:21" x14ac:dyDescent="0.4">
      <c r="S118" s="88"/>
      <c r="T118" s="88">
        <v>82125</v>
      </c>
    </row>
    <row r="119" spans="19:21" x14ac:dyDescent="0.4">
      <c r="S119" s="88">
        <v>6070</v>
      </c>
      <c r="T119" s="88"/>
    </row>
    <row r="120" spans="19:21" x14ac:dyDescent="0.4">
      <c r="S120" s="89">
        <f>SUM(S117:S119)</f>
        <v>6070</v>
      </c>
      <c r="T120" s="89">
        <f>SUM(T117:T119)</f>
        <v>611875</v>
      </c>
      <c r="U120" s="90">
        <f>SUM(S120:T120)</f>
        <v>617945</v>
      </c>
    </row>
    <row r="121" spans="19:21" x14ac:dyDescent="0.4">
      <c r="T121" s="91">
        <f>T120-S120</f>
        <v>605805</v>
      </c>
    </row>
  </sheetData>
  <hyperlinks>
    <hyperlink ref="A1" location="'Project Status'!A1" display="'Project Status'!A1" xr:uid="{341D7909-AE99-4CFC-82E7-757D7B860AC8}"/>
  </hyperlinks>
  <pageMargins left="0.7" right="0.7" top="0.75" bottom="0.75" header="0.3" footer="0.3"/>
  <pageSetup orientation="portrait" horizontalDpi="4294967295" verticalDpi="4294967295"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C07FA-F034-49AD-8421-4944DA9DDFAC}">
  <sheetPr>
    <tabColor theme="0"/>
  </sheetPr>
  <dimension ref="A1:T90"/>
  <sheetViews>
    <sheetView zoomScaleNormal="100" workbookViewId="0">
      <selection activeCell="C26" sqref="C26"/>
    </sheetView>
  </sheetViews>
  <sheetFormatPr defaultColWidth="9.3046875" defaultRowHeight="14.6" x14ac:dyDescent="0.4"/>
  <cols>
    <col min="1" max="1" width="5.69140625" style="39" customWidth="1"/>
    <col min="2" max="2" width="25.53515625" style="39" bestFit="1" customWidth="1"/>
    <col min="3" max="3" width="15.69140625" style="49" bestFit="1" customWidth="1"/>
    <col min="4" max="4" width="5.69140625" style="39" customWidth="1"/>
    <col min="5" max="5" width="9.3046875" style="39"/>
    <col min="6" max="6" width="14.3046875" style="39" bestFit="1" customWidth="1"/>
    <col min="7" max="7" width="9.3046875" style="39"/>
    <col min="8" max="8" width="5.69140625" style="39" customWidth="1"/>
    <col min="9" max="17" width="9.3046875" style="39"/>
    <col min="18" max="20" width="10.69140625" style="39" bestFit="1" customWidth="1"/>
    <col min="21" max="16384" width="9.3046875" style="39"/>
  </cols>
  <sheetData>
    <row r="1" spans="1:10" x14ac:dyDescent="0.4">
      <c r="A1" s="40" t="s">
        <v>254</v>
      </c>
    </row>
    <row r="2" spans="1:10" x14ac:dyDescent="0.4">
      <c r="B2" s="77" t="s">
        <v>139</v>
      </c>
    </row>
    <row r="3" spans="1:10" x14ac:dyDescent="0.4">
      <c r="B3" s="39" t="s">
        <v>141</v>
      </c>
      <c r="E3" s="77"/>
    </row>
    <row r="4" spans="1:10" x14ac:dyDescent="0.4">
      <c r="B4" s="78" t="s">
        <v>293</v>
      </c>
      <c r="C4" s="79">
        <f>Contributions!G15</f>
        <v>11029283.289999999</v>
      </c>
      <c r="E4" s="53"/>
      <c r="F4" s="49"/>
    </row>
    <row r="5" spans="1:10" x14ac:dyDescent="0.4">
      <c r="B5" s="80" t="s">
        <v>144</v>
      </c>
      <c r="C5" s="81">
        <f>SUM(C1:C4)</f>
        <v>11029283.289999999</v>
      </c>
      <c r="J5" s="53"/>
    </row>
    <row r="8" spans="1:10" x14ac:dyDescent="0.4">
      <c r="B8" s="39" t="s">
        <v>142</v>
      </c>
      <c r="F8" s="54"/>
    </row>
    <row r="9" spans="1:10" x14ac:dyDescent="0.4">
      <c r="B9" s="53" t="s">
        <v>297</v>
      </c>
      <c r="C9" s="49">
        <f>SUMIF('10085'!$E:$E,'JE LOG_FY24'!B9,'10085'!$H:$H)+SUMIF('10098'!$E:$E,'JE LOG_FY24'!B9,'10098'!$H:$H)+SUMIF('10146'!$E:$E,'JE LOG_FY24'!B9,'10146'!$H:$H)+SUMIF('20179'!$E:$E,'JE LOG_FY24'!B9,'20179'!$H:$H)+SUMIF('20336'!$E:$E,'JE LOG_FY24'!B9,'20336'!$H:$H)+SUMIF('20431'!$E:$E,'JE LOG_FY24'!B9,'20431'!$H:$H)+SUMIF('20478'!$E:$E,'JE LOG_FY24'!B9,'20478'!$H:$H)+SUMIF('20489'!$E:$E,'JE LOG_FY24'!B9,'20489'!$H:$H)+SUMIF('20497'!$E:$E,'JE LOG_FY24'!B9,'20497'!$H:$H)+SUMIF('20506'!$E:$E,'JE LOG_FY24'!B9,'20506'!$H:$H)++SUMIF('20562'!$E:$E,'JE LOG_FY24'!B9,'20562'!$H:$H)+SUMIF('20566'!$E:$E,'JE LOG_FY24'!B9,'20566'!$H:$H)+SUMIF('20573'!$E:$E,'JE LOG_FY24'!B9,'20573'!$H:$H)+SUMIF('20574'!$E:$E,'JE LOG_FY24'!B9,'20574'!$H:$H)+SUMIF('20577'!$E:$E,'JE LOG_FY24'!B9,'20577'!$H:$H)+SUMIF('20644'!$E:$E,'JE LOG_FY24'!B9,'20644'!$H:$H)+SUMIF('20645'!$E:$E,'JE LOG_FY24'!B9,'20645'!$H:$H)+SUMIF('20667'!$E:$E,'JE LOG_FY24'!B9,'20667'!$H:$H)+SUMIF('20668'!$E:$E,'JE LOG_FY24'!B9,'20668'!$H:$H)+SUMIF('20698'!$E:$E,'JE LOG_FY24'!B9,'20698'!$H:$H)+SUMIF('20700'!$E:$E,'JE LOG_FY24'!B9,'20700'!$H:$H)+SUMIF('20701'!$E:$E,'JE LOG_FY24'!B9,'20701'!$H:$H)+SUMIF('20702'!$E:$E,'JE LOG_FY24'!B9,'20702'!$H:$H)+SUMIF('20718'!$E:$E,'JE LOG_FY24'!B9,'20718'!$H:$H)+SUMIF('20723'!$E:$E,'JE LOG_FY24'!B9,'20723'!$H:$H)+SUMIF('20724'!$E:$E,'JE LOG_FY24'!B9,'20724'!$H:$H)+SUMIF('20771'!$E:$E,'JE LOG_FY24'!B9,'20771'!$H:$H)+SUMIF('20735'!$E:$E,'JE LOG_FY24'!B9,'20735'!$H:$H)+SUMIF('20792'!$E:$E,'JE LOG_FY24'!B9,'20792'!$H:$H)</f>
        <v>1028900</v>
      </c>
      <c r="F9" s="82"/>
    </row>
    <row r="10" spans="1:10" x14ac:dyDescent="0.4">
      <c r="B10" s="53" t="s">
        <v>304</v>
      </c>
      <c r="C10" s="49">
        <f>SUMIF('10085'!$E:$E,'JE LOG_FY24'!B10,'10085'!$H:$H)+SUMIF('10098'!$E:$E,'JE LOG_FY24'!B10,'10098'!$H:$H)+SUMIF('10146'!$E:$E,'JE LOG_FY24'!B10,'10146'!$H:$H)+SUMIF('20179'!$E:$E,'JE LOG_FY24'!B10,'20179'!$H:$H)+SUMIF('20336'!$E:$E,'JE LOG_FY24'!B10,'20336'!$H:$H)+SUMIF('20431'!$E:$E,'JE LOG_FY24'!B10,'20431'!$H:$H)+SUMIF('20478'!$E:$E,'JE LOG_FY24'!B10,'20478'!$H:$H)+SUMIF('20489'!$E:$E,'JE LOG_FY24'!B10,'20489'!$H:$H)+SUMIF('20497'!$E:$E,'JE LOG_FY24'!B10,'20497'!$H:$H)+SUMIF('20506'!$E:$E,'JE LOG_FY24'!B10,'20506'!$H:$H)++SUMIF('20562'!$E:$E,'JE LOG_FY24'!B10,'20562'!$H:$H)+SUMIF('20566'!$E:$E,'JE LOG_FY24'!B10,'20566'!$H:$H)+SUMIF('20573'!$E:$E,'JE LOG_FY24'!B10,'20573'!$H:$H)+SUMIF('20574'!$E:$E,'JE LOG_FY24'!B10,'20574'!$H:$H)+SUMIF('20577'!$E:$E,'JE LOG_FY24'!B10,'20577'!$H:$H)+SUMIF('20644'!$E:$E,'JE LOG_FY24'!B10,'20644'!$H:$H)+SUMIF('20645'!$E:$E,'JE LOG_FY24'!B10,'20645'!$H:$H)+SUMIF('20667'!$E:$E,'JE LOG_FY24'!B10,'20667'!$H:$H)+SUMIF('20668'!$E:$E,'JE LOG_FY24'!B10,'20668'!$H:$H)+SUMIF('20698'!$E:$E,'JE LOG_FY24'!B10,'20698'!$H:$H)+SUMIF('20700'!$E:$E,'JE LOG_FY24'!B10,'20700'!$H:$H)+SUMIF('20701'!$E:$E,'JE LOG_FY24'!B10,'20701'!$H:$H)+SUMIF('20702'!$E:$E,'JE LOG_FY24'!B10,'20702'!$H:$H)+SUMIF('20718'!$E:$E,'JE LOG_FY24'!B10,'20718'!$H:$H)+SUMIF('20723'!$E:$E,'JE LOG_FY24'!B10,'20723'!$H:$H)+SUMIF('20724'!$E:$E,'JE LOG_FY24'!B10,'20724'!$H:$H)+SUMIF('20771'!$E:$E,'JE LOG_FY24'!B10,'20771'!$H:$H)+SUMIF('20735'!$E:$E,'JE LOG_FY24'!B10,'20735'!$H:$H)+SUMIF('20792'!$E:$E,'JE LOG_FY24'!B10,'20792'!$H:$H)+SUMIF('20831'!$E:$E,'JE LOG_FY24'!B10,'20831'!$H:$H)+SUMIF('20832'!$E:$E,'JE LOG_FY24'!B10,'20832'!$H:$H)+SUMIF('20833'!$E:$E,'JE LOG_FY24'!B10,'20833'!$H:$H)</f>
        <v>3749814</v>
      </c>
      <c r="F10" s="82"/>
    </row>
    <row r="11" spans="1:10" x14ac:dyDescent="0.4">
      <c r="B11" s="53" t="s">
        <v>315</v>
      </c>
      <c r="C11" s="49">
        <f>SUMIF('10085'!$E:$E,'JE LOG_FY24'!B11,'10085'!$H:$H)+SUMIF('10098'!$E:$E,'JE LOG_FY24'!B11,'10098'!$H:$H)+SUMIF('10146'!$E:$E,'JE LOG_FY24'!B11,'10146'!$H:$H)+SUMIF('20179'!$E:$E,'JE LOG_FY24'!B11,'20179'!$H:$H)+SUMIF('20336'!$E:$E,'JE LOG_FY24'!B11,'20336'!$H:$H)+SUMIF('20431'!$E:$E,'JE LOG_FY24'!B11,'20431'!$H:$H)+SUMIF('20478'!$E:$E,'JE LOG_FY24'!B11,'20478'!$H:$H)+SUMIF('20489'!$E:$E,'JE LOG_FY24'!B11,'20489'!$H:$H)+SUMIF('20497'!$E:$E,'JE LOG_FY24'!B11,'20497'!$H:$H)+SUMIF('20506'!$E:$E,'JE LOG_FY24'!B11,'20506'!$H:$H)++SUMIF('20562'!$E:$E,'JE LOG_FY24'!B11,'20562'!$H:$H)+SUMIF('20566'!$E:$E,'JE LOG_FY24'!B11,'20566'!$H:$H)+SUMIF('20573'!$E:$E,'JE LOG_FY24'!B11,'20573'!$H:$H)+SUMIF('20574'!$E:$E,'JE LOG_FY24'!B11,'20574'!$H:$H)+SUMIF('20577'!$E:$E,'JE LOG_FY24'!B11,'20577'!$H:$H)+SUMIF('20644'!$E:$E,'JE LOG_FY24'!B11,'20644'!$H:$H)+SUMIF('20645'!$E:$E,'JE LOG_FY24'!B11,'20645'!$H:$H)+SUMIF('20667'!$E:$E,'JE LOG_FY24'!B11,'20667'!$H:$H)+SUMIF('20668'!$E:$E,'JE LOG_FY24'!B11,'20668'!$H:$H)+SUMIF('20698'!$E:$E,'JE LOG_FY24'!B11,'20698'!$H:$H)+SUMIF('20700'!$E:$E,'JE LOG_FY24'!B11,'20700'!$H:$H)+SUMIF('20701'!$E:$E,'JE LOG_FY24'!B11,'20701'!$H:$H)+SUMIF('20702'!$E:$E,'JE LOG_FY24'!B11,'20702'!$H:$H)+SUMIF('20718'!$E:$E,'JE LOG_FY24'!B11,'20718'!$H:$H)+SUMIF('20723'!$E:$E,'JE LOG_FY24'!B11,'20723'!$H:$H)+SUMIF('20724'!$E:$E,'JE LOG_FY24'!B11,'20724'!$H:$H)+SUMIF('20771'!$E:$E,'JE LOG_FY24'!B11,'20771'!$H:$H)+SUMIF('20735'!$E:$E,'JE LOG_FY24'!B11,'20735'!$H:$H)+SUMIF('20792'!$E:$E,'JE LOG_FY24'!B11,'20792'!$H:$H)+SUMIF('20831'!$E:$E,'JE LOG_FY24'!B11,'20831'!$H:$H)+SUMIF('20832'!$E:$E,'JE LOG_FY24'!B11,'20832'!$H:$H)+SUMIF('20833'!$E:$E,'JE LOG_FY24'!B11,'20833'!$H:$H)+SUMIF('20857'!$E:$E,'JE LOG_FY24'!B11,'20857'!$H:$H)</f>
        <v>-45721</v>
      </c>
      <c r="F11" s="82"/>
    </row>
    <row r="12" spans="1:10" x14ac:dyDescent="0.4">
      <c r="B12" s="53" t="s">
        <v>329</v>
      </c>
      <c r="C12" s="49">
        <f>SUMIF('10085'!$E:$E,'JE LOG_FY24'!B12,'10085'!$H:$H)+SUMIF('10098'!$E:$E,'JE LOG_FY24'!B12,'10098'!$H:$H)+SUMIF('10146'!$E:$E,'JE LOG_FY24'!B12,'10146'!$H:$H)+SUMIF('20179'!$E:$E,'JE LOG_FY24'!B12,'20179'!$H:$H)+SUMIF('20336'!$E:$E,'JE LOG_FY24'!B12,'20336'!$H:$H)+SUMIF('20431'!$E:$E,'JE LOG_FY24'!B12,'20431'!$H:$H)+SUMIF('20478'!$E:$E,'JE LOG_FY24'!B12,'20478'!$H:$H)+SUMIF('20489'!$E:$E,'JE LOG_FY24'!B12,'20489'!$H:$H)+SUMIF('20497'!$E:$E,'JE LOG_FY24'!B12,'20497'!$H:$H)+SUMIF('20506'!$E:$E,'JE LOG_FY24'!B12,'20506'!$H:$H)++SUMIF('20562'!$E:$E,'JE LOG_FY24'!B12,'20562'!$H:$H)+SUMIF('20566'!$E:$E,'JE LOG_FY24'!B12,'20566'!$H:$H)+SUMIF('20573'!$E:$E,'JE LOG_FY24'!B12,'20573'!$H:$H)+SUMIF('20574'!$E:$E,'JE LOG_FY24'!B12,'20574'!$H:$H)+SUMIF('20577'!$E:$E,'JE LOG_FY24'!B12,'20577'!$H:$H)+SUMIF('20644'!$E:$E,'JE LOG_FY24'!B12,'20644'!$H:$H)+SUMIF('20645'!$E:$E,'JE LOG_FY24'!B12,'20645'!$H:$H)+SUMIF('20667'!$E:$E,'JE LOG_FY24'!B12,'20667'!$H:$H)+SUMIF('20668'!$E:$E,'JE LOG_FY24'!B12,'20668'!$H:$H)+SUMIF('20698'!$E:$E,'JE LOG_FY24'!B12,'20698'!$H:$H)+SUMIF('20700'!$E:$E,'JE LOG_FY24'!B12,'20700'!$H:$H)+SUMIF('20701'!$E:$E,'JE LOG_FY24'!B12,'20701'!$H:$H)+SUMIF('20702'!$E:$E,'JE LOG_FY24'!B12,'20702'!$H:$H)+SUMIF('20718'!$E:$E,'JE LOG_FY24'!B12,'20718'!$H:$H)+SUMIF('20723'!$E:$E,'JE LOG_FY24'!B12,'20723'!$H:$H)+SUMIF('20724'!$E:$E,'JE LOG_FY24'!B12,'20724'!$H:$H)+SUMIF('20771'!$E:$E,'JE LOG_FY24'!B12,'20771'!$H:$H)+SUMIF('20735'!$E:$E,'JE LOG_FY24'!B12,'20735'!$H:$H)+SUMIF('20792'!$E:$E,'JE LOG_FY24'!B12,'20792'!$H:$H)+SUMIF('20831'!$E:$E,'JE LOG_FY24'!B12,'20831'!$H:$H)+SUMIF('20832'!$E:$E,'JE LOG_FY24'!B12,'20832'!$H:$H)+SUMIF('20833'!$E:$E,'JE LOG_FY24'!B12,'20833'!$H:$H)+SUMIF('20857'!$E:$E,'JE LOG_FY24'!B12,'20857'!$H:$H)</f>
        <v>1964100</v>
      </c>
      <c r="F12" s="82"/>
    </row>
    <row r="13" spans="1:10" x14ac:dyDescent="0.4">
      <c r="B13" s="53" t="s">
        <v>331</v>
      </c>
      <c r="C13" s="49">
        <f>SUMIF('10085'!$E:$E,'JE LOG_FY24'!B13,'10085'!$H:$H)+SUMIF('10098'!$E:$E,'JE LOG_FY24'!B13,'10098'!$H:$H)+SUMIF('10146'!$E:$E,'JE LOG_FY24'!B13,'10146'!$H:$H)+SUMIF('20179'!$E:$E,'JE LOG_FY24'!B13,'20179'!$H:$H)+SUMIF('20336'!$E:$E,'JE LOG_FY24'!B13,'20336'!$H:$H)+SUMIF('20431'!$E:$E,'JE LOG_FY24'!B13,'20431'!$H:$H)+SUMIF('20478'!$E:$E,'JE LOG_FY24'!B13,'20478'!$H:$H)+SUMIF('20489'!$E:$E,'JE LOG_FY24'!B13,'20489'!$H:$H)+SUMIF('20497'!$E:$E,'JE LOG_FY24'!B13,'20497'!$H:$H)+SUMIF('20506'!$E:$E,'JE LOG_FY24'!B13,'20506'!$H:$H)++SUMIF('20562'!$E:$E,'JE LOG_FY24'!B13,'20562'!$H:$H)+SUMIF('20566'!$E:$E,'JE LOG_FY24'!B13,'20566'!$H:$H)+SUMIF('20573'!$E:$E,'JE LOG_FY24'!B13,'20573'!$H:$H)+SUMIF('20574'!$E:$E,'JE LOG_FY24'!B13,'20574'!$H:$H)+SUMIF('20577'!$E:$E,'JE LOG_FY24'!B13,'20577'!$H:$H)+SUMIF('20644'!$E:$E,'JE LOG_FY24'!B13,'20644'!$H:$H)+SUMIF('20645'!$E:$E,'JE LOG_FY24'!B13,'20645'!$H:$H)+SUMIF('20667'!$E:$E,'JE LOG_FY24'!B13,'20667'!$H:$H)+SUMIF('20668'!$E:$E,'JE LOG_FY24'!B13,'20668'!$H:$H)+SUMIF('20698'!$E:$E,'JE LOG_FY24'!B13,'20698'!$H:$H)+SUMIF('20700'!$E:$E,'JE LOG_FY24'!B13,'20700'!$H:$H)+SUMIF('20701'!$E:$E,'JE LOG_FY24'!B13,'20701'!$H:$H)+SUMIF('20702'!$E:$E,'JE LOG_FY24'!B13,'20702'!$H:$H)+SUMIF('20718'!$E:$E,'JE LOG_FY24'!B13,'20718'!$H:$H)+SUMIF('20723'!$E:$E,'JE LOG_FY24'!B13,'20723'!$H:$H)+SUMIF('20724'!$E:$E,'JE LOG_FY24'!B13,'20724'!$H:$H)+SUMIF('20771'!$E:$E,'JE LOG_FY24'!B13,'20771'!$H:$H)+SUMIF('20735'!$E:$E,'JE LOG_FY24'!B13,'20735'!$H:$H)+SUMIF('20792'!$E:$E,'JE LOG_FY24'!B13,'20792'!$H:$H)+SUMIF('20831'!$E:$E,'JE LOG_FY24'!B13,'20831'!$H:$H)+SUMIF('20832'!$E:$E,'JE LOG_FY24'!B13,'20832'!$H:$H)+SUMIF('20833'!$E:$E,'JE LOG_FY24'!B13,'20833'!$H:$H)+SUMIF('20857'!$E:$E,'JE LOG_FY24'!B13,'20857'!$H:$H)</f>
        <v>893319.04</v>
      </c>
      <c r="F13" s="82"/>
    </row>
    <row r="14" spans="1:10" x14ac:dyDescent="0.4">
      <c r="B14" s="53" t="s">
        <v>347</v>
      </c>
      <c r="C14" s="49">
        <f>SUMIF('10085'!$E:$E,'JE LOG_FY24'!B14,'10085'!$H:$H)+SUMIF('10098'!$E:$E,'JE LOG_FY24'!B14,'10098'!$H:$H)+SUMIF('10146'!$E:$E,'JE LOG_FY24'!B14,'10146'!$H:$H)+SUMIF('20179'!$E:$E,'JE LOG_FY24'!B14,'20179'!$H:$H)+SUMIF('20336'!$E:$E,'JE LOG_FY24'!B14,'20336'!$H:$H)+SUMIF('20431'!$E:$E,'JE LOG_FY24'!B14,'20431'!$H:$H)+SUMIF('20478'!$E:$E,'JE LOG_FY24'!B14,'20478'!$H:$H)+SUMIF('20489'!$E:$E,'JE LOG_FY24'!B14,'20489'!$H:$H)+SUMIF('20497'!$E:$E,'JE LOG_FY24'!B14,'20497'!$H:$H)+SUMIF('20506'!$E:$E,'JE LOG_FY24'!B14,'20506'!$H:$H)++SUMIF('20562'!$E:$E,'JE LOG_FY24'!B14,'20562'!$H:$H)+SUMIF('20566'!$E:$E,'JE LOG_FY24'!B14,'20566'!$H:$H)+SUMIF('20573'!$E:$E,'JE LOG_FY24'!B14,'20573'!$H:$H)+SUMIF('20574'!$E:$E,'JE LOG_FY24'!B14,'20574'!$H:$H)+SUMIF('20577'!$E:$E,'JE LOG_FY24'!B14,'20577'!$H:$H)+SUMIF('20644'!$E:$E,'JE LOG_FY24'!B14,'20644'!$H:$H)+SUMIF('20645'!$E:$E,'JE LOG_FY24'!B14,'20645'!$H:$H)+SUMIF('20667'!$E:$E,'JE LOG_FY24'!B14,'20667'!$H:$H)+SUMIF('20668'!$E:$E,'JE LOG_FY24'!B14,'20668'!$H:$H)+SUMIF('20698'!$E:$E,'JE LOG_FY24'!B14,'20698'!$H:$H)+SUMIF('20700'!$E:$E,'JE LOG_FY24'!B14,'20700'!$H:$H)+SUMIF('20701'!$E:$E,'JE LOG_FY24'!B14,'20701'!$H:$H)+SUMIF('20702'!$E:$E,'JE LOG_FY24'!B14,'20702'!$H:$H)+SUMIF('20718'!$E:$E,'JE LOG_FY24'!B14,'20718'!$H:$H)+SUMIF('20723'!$E:$E,'JE LOG_FY24'!B14,'20723'!$H:$H)+SUMIF('20724'!$E:$E,'JE LOG_FY24'!B14,'20724'!$H:$H)+SUMIF('20771'!$E:$E,'JE LOG_FY24'!B14,'20771'!$H:$H)+SUMIF('20735'!$E:$E,'JE LOG_FY24'!B14,'20735'!$H:$H)+SUMIF('20792'!$E:$E,'JE LOG_FY24'!B14,'20792'!$H:$H)+SUMIF('20831'!$E:$E,'JE LOG_FY24'!B14,'20831'!$H:$H)+SUMIF('20832'!$E:$E,'JE LOG_FY24'!B14,'20832'!$H:$H)+SUMIF('20833'!$E:$E,'JE LOG_FY24'!B14,'20833'!$H:$H)+SUMIF('20857'!$E:$E,'JE LOG_FY24'!B14,'20857'!$H:$H)+SUMIF('20885'!$E:$E,'JE LOG_FY24'!B14,'20885'!$H:$H)+SUMIF('20911'!$E:$E,'JE LOG_FY24'!B14,'20911'!$H:$H)+SUMIF('20912'!$E:$E,'JE LOG_FY24'!B14,'20912'!$H:$H)+SUMIF('20913'!$E:$E,'JE LOG_FY24'!B14,'20913'!$H:$H)</f>
        <v>-11229.320000000007</v>
      </c>
      <c r="F14" s="82"/>
    </row>
    <row r="15" spans="1:10" x14ac:dyDescent="0.4">
      <c r="B15" s="53" t="s">
        <v>362</v>
      </c>
      <c r="C15" s="49">
        <f>SUMIF('10085'!$E:$E,'JE LOG_FY24'!B15,'10085'!$H:$H)+SUMIF('10098'!$E:$E,'JE LOG_FY24'!B15,'10098'!$H:$H)+SUMIF('10146'!$E:$E,'JE LOG_FY24'!B15,'10146'!$H:$H)+SUMIF('20179'!$E:$E,'JE LOG_FY24'!B15,'20179'!$H:$H)+SUMIF('20336'!$E:$E,'JE LOG_FY24'!B15,'20336'!$H:$H)+SUMIF('20431'!$E:$E,'JE LOG_FY24'!B15,'20431'!$H:$H)+SUMIF('20478'!$E:$E,'JE LOG_FY24'!B15,'20478'!$H:$H)+SUMIF('20489'!$E:$E,'JE LOG_FY24'!B15,'20489'!$H:$H)+SUMIF('20497'!$E:$E,'JE LOG_FY24'!B15,'20497'!$H:$H)+SUMIF('20506'!$E:$E,'JE LOG_FY24'!B15,'20506'!$H:$H)++SUMIF('20562'!$E:$E,'JE LOG_FY24'!B15,'20562'!$H:$H)+SUMIF('20566'!$E:$E,'JE LOG_FY24'!B15,'20566'!$H:$H)+SUMIF('20573'!$E:$E,'JE LOG_FY24'!B15,'20573'!$H:$H)+SUMIF('20574'!$E:$E,'JE LOG_FY24'!B15,'20574'!$H:$H)+SUMIF('20577'!$E:$E,'JE LOG_FY24'!B15,'20577'!$H:$H)+SUMIF('20644'!$E:$E,'JE LOG_FY24'!B15,'20644'!$H:$H)+SUMIF('20645'!$E:$E,'JE LOG_FY24'!B15,'20645'!$H:$H)+SUMIF('20667'!$E:$E,'JE LOG_FY24'!B15,'20667'!$H:$H)+SUMIF('20668'!$E:$E,'JE LOG_FY24'!B15,'20668'!$H:$H)+SUMIF('20698'!$E:$E,'JE LOG_FY24'!B15,'20698'!$H:$H)+SUMIF('20700'!$E:$E,'JE LOG_FY24'!B15,'20700'!$H:$H)+SUMIF('20701'!$E:$E,'JE LOG_FY24'!B15,'20701'!$H:$H)+SUMIF('20702'!$E:$E,'JE LOG_FY24'!B15,'20702'!$H:$H)+SUMIF('20718'!$E:$E,'JE LOG_FY24'!B15,'20718'!$H:$H)+SUMIF('20723'!$E:$E,'JE LOG_FY24'!B15,'20723'!$H:$H)+SUMIF('20724'!$E:$E,'JE LOG_FY24'!B15,'20724'!$H:$H)+SUMIF('20771'!$E:$E,'JE LOG_FY24'!B15,'20771'!$H:$H)+SUMIF('20735'!$E:$E,'JE LOG_FY24'!B15,'20735'!$H:$H)+SUMIF('20767'!$E:$E,'JE LOG_FY24'!B15,'20767'!$H:$H)+SUMIF('20792'!$E:$E,'JE LOG_FY24'!B15,'20792'!$H:$H)+SUMIF('20831'!$E:$E,'JE LOG_FY24'!B15,'20831'!$H:$H)+SUMIF('20832'!$E:$E,'JE LOG_FY24'!B15,'20832'!$H:$H)+SUMIF('20833'!$E:$E,'JE LOG_FY24'!B15,'20833'!$H:$H)+SUMIF('20857'!$E:$E,'JE LOG_FY24'!B15,'20857'!$H:$H)+SUMIF('20885'!$E:$E,'JE LOG_FY24'!B15,'20885'!$H:$H)+SUMIF('20911'!$E:$E,'JE LOG_FY24'!B15,'20911'!$H:$H)+SUMIF('20912'!$E:$E,'JE LOG_FY24'!B15,'20912'!$H:$H)+SUMIF('20913'!$E:$E,'JE LOG_FY24'!B15,'20913'!$H:$H)+SUMIF('20945'!$E:$E,'JE LOG_FY24'!B15,'20945'!$H:$H)</f>
        <v>638993.64</v>
      </c>
      <c r="F15" s="82"/>
    </row>
    <row r="16" spans="1:10" x14ac:dyDescent="0.4">
      <c r="B16" s="53" t="s">
        <v>370</v>
      </c>
      <c r="C16" s="49">
        <f>SUMIF('10085'!$E:$E,'JE LOG_FY24'!B16,'10085'!$H:$H)+SUMIF('10098'!$E:$E,'JE LOG_FY24'!B16,'10098'!$H:$H)+SUMIF('10146'!$E:$E,'JE LOG_FY24'!B16,'10146'!$H:$H)+SUMIF('20179'!$E:$E,'JE LOG_FY24'!B16,'20179'!$H:$H)+SUMIF('20336'!$E:$E,'JE LOG_FY24'!B16,'20336'!$H:$H)+SUMIF('20431'!$E:$E,'JE LOG_FY24'!B16,'20431'!$H:$H)+SUMIF('20478'!$E:$E,'JE LOG_FY24'!B16,'20478'!$H:$H)+SUMIF('20489'!$E:$E,'JE LOG_FY24'!B16,'20489'!$H:$H)+SUMIF('20497'!$E:$E,'JE LOG_FY24'!B16,'20497'!$H:$H)+SUMIF('20506'!$E:$E,'JE LOG_FY24'!B16,'20506'!$H:$H)++SUMIF('20562'!$E:$E,'JE LOG_FY24'!B16,'20562'!$H:$H)+SUMIF('20566'!$E:$E,'JE LOG_FY24'!B16,'20566'!$H:$H)+SUMIF('20573'!$E:$E,'JE LOG_FY24'!B16,'20573'!$H:$H)+SUMIF('20574'!$E:$E,'JE LOG_FY24'!B16,'20574'!$H:$H)+SUMIF('20577'!$E:$E,'JE LOG_FY24'!B16,'20577'!$H:$H)+SUMIF('20644'!$E:$E,'JE LOG_FY24'!B16,'20644'!$H:$H)+SUMIF('20645'!$E:$E,'JE LOG_FY24'!B16,'20645'!$H:$H)+SUMIF('20667'!$E:$E,'JE LOG_FY24'!B16,'20667'!$H:$H)+SUMIF('20668'!$E:$E,'JE LOG_FY24'!B16,'20668'!$H:$H)+SUMIF('20698'!$E:$E,'JE LOG_FY24'!B16,'20698'!$H:$H)+SUMIF('20700'!$E:$E,'JE LOG_FY24'!B16,'20700'!$H:$H)+SUMIF('20701'!$E:$E,'JE LOG_FY24'!B16,'20701'!$H:$H)+SUMIF('20702'!$E:$E,'JE LOG_FY24'!B16,'20702'!$H:$H)+SUMIF('20718'!$E:$E,'JE LOG_FY24'!B16,'20718'!$H:$H)+SUMIF('20723'!$E:$E,'JE LOG_FY24'!B16,'20723'!$H:$H)+SUMIF('20724'!$E:$E,'JE LOG_FY24'!B16,'20724'!$H:$H)+SUMIF('20771'!$E:$E,'JE LOG_FY24'!B16,'20771'!$H:$H)+SUMIF('20735'!$E:$E,'JE LOG_FY24'!B16,'20735'!$H:$H)+SUMIF('20767'!$E:$E,'JE LOG_FY24'!B16,'20767'!$H:$H)+SUMIF('20792'!$E:$E,'JE LOG_FY24'!B16,'20792'!$H:$H)+SUMIF('20811'!$E:$E,'JE LOG_FY24'!B16,'20811'!$H:$H)+SUMIF('20831'!$E:$E,'JE LOG_FY24'!B16,'20831'!$H:$H)+SUMIF('20832'!$E:$E,'JE LOG_FY24'!B16,'20832'!$H:$H)+SUMIF('20833'!$E:$E,'JE LOG_FY24'!B16,'20833'!$H:$H)+SUMIF('20857'!$E:$E,'JE LOG_FY24'!B16,'20857'!$H:$H)+SUMIF('20884'!$E:$E,'JE LOG_FY24'!B16,'20884'!$H:$H)+SUMIF('20885'!$E:$E,'JE LOG_FY24'!B16,'20885'!$H:$H)+SUMIF('20911'!$E:$E,'JE LOG_FY24'!B16,'20911'!$H:$H)+SUMIF('20912'!$E:$E,'JE LOG_FY24'!B16,'20912'!$H:$H)+SUMIF('20913'!$E:$E,'JE LOG_FY24'!B16,'20913'!$H:$H)+SUMIF('20924'!$E:$E,'JE LOG_FY24'!B16,'20924'!$H:$H)+SUMIF('20936'!$E:$E,'JE LOG_FY24'!B16,'20936'!$H:$H)+SUMIF('20945'!$E:$E,'JE LOG_FY24'!B16,'20945'!$H:$H)</f>
        <v>1384584.18</v>
      </c>
      <c r="F16" s="82"/>
    </row>
    <row r="17" spans="1:20" x14ac:dyDescent="0.4">
      <c r="B17" s="53" t="s">
        <v>381</v>
      </c>
      <c r="C17" s="49">
        <f>SUMIF('10085'!$E:$E,'JE LOG_FY24'!B17,'10085'!$H:$H)+SUMIF('10098'!$E:$E,'JE LOG_FY24'!B17,'10098'!$H:$H)+SUMIF('10146'!$E:$E,'JE LOG_FY24'!B17,'10146'!$H:$H)+SUMIF('20179'!$E:$E,'JE LOG_FY24'!B17,'20179'!$H:$H)+SUMIF('20336'!$E:$E,'JE LOG_FY24'!B17,'20336'!$H:$H)+SUMIF('20431'!$E:$E,'JE LOG_FY24'!B17,'20431'!$H:$H)+SUMIF('20478'!$E:$E,'JE LOG_FY24'!B17,'20478'!$H:$H)+SUMIF('20489'!$E:$E,'JE LOG_FY24'!B17,'20489'!$H:$H)+SUMIF('20497'!$E:$E,'JE LOG_FY24'!B17,'20497'!$H:$H)+SUMIF('20506'!$E:$E,'JE LOG_FY24'!B17,'20506'!$H:$H)++SUMIF('20562'!$E:$E,'JE LOG_FY24'!B17,'20562'!$H:$H)+SUMIF('20566'!$E:$E,'JE LOG_FY24'!B17,'20566'!$H:$H)+SUMIF('20573'!$E:$E,'JE LOG_FY24'!B17,'20573'!$H:$H)+SUMIF('20574'!$E:$E,'JE LOG_FY24'!B17,'20574'!$H:$H)+SUMIF('20577'!$E:$E,'JE LOG_FY24'!B17,'20577'!$H:$H)+SUMIF('20644'!$E:$E,'JE LOG_FY24'!B17,'20644'!$H:$H)+SUMIF('20645'!$E:$E,'JE LOG_FY24'!B17,'20645'!$H:$H)+SUMIF('20667'!$E:$E,'JE LOG_FY24'!B17,'20667'!$H:$H)+SUMIF('20668'!$E:$E,'JE LOG_FY24'!B17,'20668'!$H:$H)+SUMIF('20698'!$E:$E,'JE LOG_FY24'!B17,'20698'!$H:$H)+SUMIF('20700'!$E:$E,'JE LOG_FY24'!B17,'20700'!$H:$H)+SUMIF('20701'!$E:$E,'JE LOG_FY24'!B17,'20701'!$H:$H)+SUMIF('20702'!$E:$E,'JE LOG_FY24'!B17,'20702'!$H:$H)+SUMIF('20718'!$E:$E,'JE LOG_FY24'!B17,'20718'!$H:$H)+SUMIF('20723'!$E:$E,'JE LOG_FY24'!B17,'20723'!$H:$H)+SUMIF('20724'!$E:$E,'JE LOG_FY24'!B17,'20724'!$H:$H)+SUMIF('20771'!$E:$E,'JE LOG_FY24'!B17,'20771'!$H:$H)+SUMIF('20772'!$E:$E,'JE LOG_FY24'!B17,'20772'!$H:$H)+SUMIF('20735'!$E:$E,'JE LOG_FY24'!B17,'20735'!$H:$H)+SUMIF('20767'!$E:$E,'JE LOG_FY24'!B17,'20767'!$H:$H)+SUMIF('20792'!$E:$E,'JE LOG_FY24'!B17,'20792'!$H:$H)+SUMIF('20811'!$E:$E,'JE LOG_FY24'!B17,'20811'!$H:$H)+SUMIF('20831'!$E:$E,'JE LOG_FY24'!B17,'20831'!$H:$H)+SUMIF('20832'!$E:$E,'JE LOG_FY24'!B17,'20832'!$H:$H)+SUMIF('20833'!$E:$E,'JE LOG_FY24'!B17,'20833'!$H:$H)+SUMIF('20857'!$E:$E,'JE LOG_FY24'!B17,'20857'!$H:$H)+SUMIF('20884'!$E:$E,'JE LOG_FY24'!B17,'20884'!$H:$H)+SUMIF('20885'!$E:$E,'JE LOG_FY24'!B17,'20885'!$H:$H)+SUMIF('20911'!$E:$E,'JE LOG_FY24'!B17,'20911'!$H:$H)+SUMIF('20912'!$E:$E,'JE LOG_FY24'!B17,'20912'!$H:$H)+SUMIF('20913'!$E:$E,'JE LOG_FY24'!B17,'20913'!$H:$H)+SUMIF('20922'!$E:$E,'JE LOG_FY24'!B17,'20922'!$H:$H)+SUMIF('20924'!$E:$E,'JE LOG_FY24'!B17,'20924'!$H:$H)+SUMIF('20936'!$E:$E,'JE LOG_FY24'!B17,'20936'!$H:$H)+SUMIF('20945'!$E:$E,'JE LOG_FY24'!B17,'20945'!$H:$H)+SUMIF('20958'!$E:$E,'JE LOG_FY24'!B17,'20958'!$H:$H)</f>
        <v>230037.4</v>
      </c>
      <c r="F17" s="49"/>
    </row>
    <row r="18" spans="1:20" x14ac:dyDescent="0.4">
      <c r="B18" s="53" t="s">
        <v>383</v>
      </c>
      <c r="C18" s="49">
        <f>SUMIF('10085'!$E:$E,'JE LOG_FY24'!B18,'10085'!$H:$H)+SUMIF('10098'!$E:$E,'JE LOG_FY24'!B18,'10098'!$H:$H)+SUMIF('10146'!$E:$E,'JE LOG_FY24'!B18,'10146'!$H:$H)+SUMIF('20179'!$E:$E,'JE LOG_FY24'!B18,'20179'!$H:$H)+SUMIF('20336'!$E:$E,'JE LOG_FY24'!B18,'20336'!$H:$H)+SUMIF('20431'!$E:$E,'JE LOG_FY24'!B18,'20431'!$H:$H)+SUMIF('20478'!$E:$E,'JE LOG_FY24'!B18,'20478'!$H:$H)+SUMIF('20489'!$E:$E,'JE LOG_FY24'!B18,'20489'!$H:$H)+SUMIF('20497'!$E:$E,'JE LOG_FY24'!B18,'20497'!$H:$H)+SUMIF('20506'!$E:$E,'JE LOG_FY24'!B18,'20506'!$H:$H)++SUMIF('20562'!$E:$E,'JE LOG_FY24'!B18,'20562'!$H:$H)+SUMIF('20566'!$E:$E,'JE LOG_FY24'!B18,'20566'!$H:$H)+SUMIF('20573'!$E:$E,'JE LOG_FY24'!B18,'20573'!$H:$H)+SUMIF('20574'!$E:$E,'JE LOG_FY24'!B18,'20574'!$H:$H)+SUMIF('20577'!$E:$E,'JE LOG_FY24'!B18,'20577'!$H:$H)+SUMIF('20644'!$E:$E,'JE LOG_FY24'!B18,'20644'!$H:$H)+SUMIF('20645'!$E:$E,'JE LOG_FY24'!B18,'20645'!$H:$H)+SUMIF('20667'!$E:$E,'JE LOG_FY24'!B18,'20667'!$H:$H)+SUMIF('20668'!$E:$E,'JE LOG_FY24'!B18,'20668'!$H:$H)+SUMIF('20698'!$E:$E,'JE LOG_FY24'!B18,'20698'!$H:$H)+SUMIF('20700'!$E:$E,'JE LOG_FY24'!B18,'20700'!$H:$H)+SUMIF('20701'!$E:$E,'JE LOG_FY24'!B18,'20701'!$H:$H)+SUMIF('20702'!$E:$E,'JE LOG_FY24'!B18,'20702'!$H:$H)+SUMIF('20718'!$E:$E,'JE LOG_FY24'!B18,'20718'!$H:$H)+SUMIF('20723'!$E:$E,'JE LOG_FY24'!B18,'20723'!$H:$H)+SUMIF('20724'!$E:$E,'JE LOG_FY24'!B18,'20724'!$H:$H)+SUMIF('20771'!$E:$E,'JE LOG_FY24'!B18,'20771'!$H:$H)+SUMIF('20772'!$E:$E,'JE LOG_FY24'!B18,'20772'!$H:$H)+SUMIF('20735'!$E:$E,'JE LOG_FY24'!B18,'20735'!$H:$H)+SUMIF('20767'!$E:$E,'JE LOG_FY24'!B18,'20767'!$H:$H)+SUMIF('20792'!$E:$E,'JE LOG_FY24'!B18,'20792'!$H:$H)+SUMIF('20811'!$E:$E,'JE LOG_FY24'!B18,'20811'!$H:$H)+SUMIF('20831'!$E:$E,'JE LOG_FY24'!B18,'20831'!$H:$H)+SUMIF('20832'!$E:$E,'JE LOG_FY24'!B18,'20832'!$H:$H)+SUMIF('20833'!$E:$E,'JE LOG_FY24'!B18,'20833'!$H:$H)+SUMIF('20857'!$E:$E,'JE LOG_FY24'!B18,'20857'!$H:$H)+SUMIF('20884'!$E:$E,'JE LOG_FY24'!B18,'20884'!$H:$H)+SUMIF('20885'!$E:$E,'JE LOG_FY24'!B18,'20885'!$H:$H)+SUMIF('20911'!$E:$E,'JE LOG_FY24'!B18,'20911'!$H:$H)+SUMIF('20912'!$E:$E,'JE LOG_FY24'!B18,'20912'!$H:$H)+SUMIF('20913'!$E:$E,'JE LOG_FY24'!B18,'20913'!$H:$H)+SUMIF('20922'!$E:$E,'JE LOG_FY24'!B18,'20922'!$H:$H)+SUMIF('20924'!$E:$E,'JE LOG_FY24'!B18,'20924'!$H:$H)+SUMIF('20936'!$E:$E,'JE LOG_FY24'!B18,'20936'!$H:$H)+SUMIF('20945'!$E:$E,'JE LOG_FY24'!B18,'20945'!$H:$H)+SUMIF('20958'!$E:$E,'JE LOG_FY24'!B18,'20958'!$H:$H)+SUMIF('20982'!$E:$E,'JE LOG_FY24'!B18,'20982'!$H:$H)</f>
        <v>1594675</v>
      </c>
      <c r="F18" s="49"/>
    </row>
    <row r="19" spans="1:20" x14ac:dyDescent="0.4">
      <c r="B19" s="53"/>
    </row>
    <row r="20" spans="1:20" x14ac:dyDescent="0.4">
      <c r="B20" s="78"/>
      <c r="C20" s="79"/>
    </row>
    <row r="21" spans="1:20" x14ac:dyDescent="0.4">
      <c r="A21" s="50"/>
      <c r="B21" s="83" t="s">
        <v>143</v>
      </c>
      <c r="C21" s="84">
        <f>SUM(C9:C20)</f>
        <v>11427472.939999999</v>
      </c>
      <c r="D21" s="50"/>
      <c r="H21" s="50"/>
    </row>
    <row r="23" spans="1:20" x14ac:dyDescent="0.4">
      <c r="B23" s="53" t="s">
        <v>618</v>
      </c>
      <c r="C23" s="49">
        <f>'JE LOG_FY23'!C24</f>
        <v>567212.74000000022</v>
      </c>
    </row>
    <row r="24" spans="1:20" x14ac:dyDescent="0.4">
      <c r="B24" s="53" t="s">
        <v>619</v>
      </c>
      <c r="C24" s="49">
        <f>F4</f>
        <v>0</v>
      </c>
    </row>
    <row r="26" spans="1:20" x14ac:dyDescent="0.4">
      <c r="A26" s="50"/>
      <c r="B26" s="85" t="s">
        <v>135</v>
      </c>
      <c r="C26" s="86">
        <f>C5-C21+C23-C24</f>
        <v>169023.08999999985</v>
      </c>
      <c r="D26" s="50"/>
      <c r="H26" s="50"/>
      <c r="R26" s="87" t="s">
        <v>321</v>
      </c>
      <c r="S26" s="87" t="s">
        <v>322</v>
      </c>
    </row>
    <row r="27" spans="1:20" x14ac:dyDescent="0.4">
      <c r="R27" s="88">
        <v>7025</v>
      </c>
      <c r="S27" s="88">
        <v>24933</v>
      </c>
    </row>
    <row r="28" spans="1:20" x14ac:dyDescent="0.4">
      <c r="R28" s="88">
        <v>36379</v>
      </c>
      <c r="S28" s="88">
        <v>17600</v>
      </c>
    </row>
    <row r="29" spans="1:20" x14ac:dyDescent="0.4">
      <c r="R29" s="88">
        <v>44850</v>
      </c>
      <c r="S29" s="88"/>
    </row>
    <row r="30" spans="1:20" x14ac:dyDescent="0.4">
      <c r="R30" s="89">
        <f>SUM(R27:R29)</f>
        <v>88254</v>
      </c>
      <c r="S30" s="89">
        <f>SUM(S27:S29)</f>
        <v>42533</v>
      </c>
      <c r="T30" s="90">
        <f>SUM(R30:S30)</f>
        <v>130787</v>
      </c>
    </row>
    <row r="31" spans="1:20" x14ac:dyDescent="0.4">
      <c r="S31" s="91">
        <f>S30-R30</f>
        <v>-45721</v>
      </c>
    </row>
    <row r="33" spans="18:20" x14ac:dyDescent="0.4">
      <c r="R33" s="88"/>
      <c r="S33" s="88"/>
    </row>
    <row r="34" spans="18:20" x14ac:dyDescent="0.4">
      <c r="R34" s="87" t="s">
        <v>321</v>
      </c>
      <c r="S34" s="87" t="s">
        <v>322</v>
      </c>
    </row>
    <row r="35" spans="18:20" x14ac:dyDescent="0.4">
      <c r="R35" s="88">
        <v>1964100</v>
      </c>
      <c r="S35" s="88">
        <v>1964100</v>
      </c>
    </row>
    <row r="36" spans="18:20" x14ac:dyDescent="0.4">
      <c r="R36" s="88">
        <v>1964100</v>
      </c>
      <c r="S36" s="88">
        <v>1964100</v>
      </c>
    </row>
    <row r="37" spans="18:20" x14ac:dyDescent="0.4">
      <c r="R37" s="89">
        <f>SUM(R35:R36)</f>
        <v>3928200</v>
      </c>
      <c r="S37" s="89">
        <f>SUM(S35:S36)</f>
        <v>3928200</v>
      </c>
      <c r="T37" s="90"/>
    </row>
    <row r="38" spans="18:20" x14ac:dyDescent="0.4">
      <c r="S38" s="91">
        <f>S37-R37</f>
        <v>0</v>
      </c>
    </row>
    <row r="41" spans="18:20" x14ac:dyDescent="0.4">
      <c r="R41" s="88"/>
      <c r="S41" s="88"/>
    </row>
    <row r="42" spans="18:20" x14ac:dyDescent="0.4">
      <c r="R42" s="87" t="s">
        <v>321</v>
      </c>
      <c r="S42" s="87" t="s">
        <v>322</v>
      </c>
    </row>
    <row r="43" spans="18:20" x14ac:dyDescent="0.4">
      <c r="R43" s="88"/>
      <c r="S43" s="88">
        <v>649263</v>
      </c>
    </row>
    <row r="44" spans="18:20" x14ac:dyDescent="0.4">
      <c r="R44" s="88"/>
      <c r="S44" s="88">
        <v>244457</v>
      </c>
    </row>
    <row r="45" spans="18:20" x14ac:dyDescent="0.4">
      <c r="R45" s="88"/>
      <c r="S45" s="88">
        <v>4000</v>
      </c>
    </row>
    <row r="46" spans="18:20" x14ac:dyDescent="0.4">
      <c r="R46" s="88">
        <v>4400.96</v>
      </c>
      <c r="S46" s="88"/>
    </row>
    <row r="47" spans="18:20" x14ac:dyDescent="0.4">
      <c r="R47" s="89">
        <f>SUM(R43:R46)</f>
        <v>4400.96</v>
      </c>
      <c r="S47" s="89">
        <f>SUM(S43:S46)</f>
        <v>897720</v>
      </c>
      <c r="T47" s="90">
        <f>SUM(R47:S47)</f>
        <v>902120.95999999996</v>
      </c>
    </row>
    <row r="48" spans="18:20" x14ac:dyDescent="0.4">
      <c r="S48" s="91">
        <f>S47-R47</f>
        <v>893319.04</v>
      </c>
    </row>
    <row r="49" spans="18:20" x14ac:dyDescent="0.4">
      <c r="R49" s="88"/>
      <c r="S49" s="88"/>
    </row>
    <row r="51" spans="18:20" x14ac:dyDescent="0.4">
      <c r="R51" s="87" t="s">
        <v>321</v>
      </c>
      <c r="S51" s="87" t="s">
        <v>322</v>
      </c>
    </row>
    <row r="52" spans="18:20" x14ac:dyDescent="0.4">
      <c r="R52" s="88"/>
      <c r="S52" s="88">
        <f>4100*3</f>
        <v>12300</v>
      </c>
    </row>
    <row r="53" spans="18:20" x14ac:dyDescent="0.4">
      <c r="R53" s="88"/>
      <c r="S53" s="88">
        <v>98341</v>
      </c>
    </row>
    <row r="54" spans="18:20" x14ac:dyDescent="0.4">
      <c r="R54" s="88">
        <v>59283.32</v>
      </c>
      <c r="S54" s="88"/>
    </row>
    <row r="55" spans="18:20" x14ac:dyDescent="0.4">
      <c r="R55" s="88">
        <v>29922</v>
      </c>
      <c r="S55" s="88"/>
    </row>
    <row r="56" spans="18:20" x14ac:dyDescent="0.4">
      <c r="R56" s="88">
        <v>32665</v>
      </c>
    </row>
    <row r="57" spans="18:20" x14ac:dyDescent="0.4">
      <c r="R57" s="89">
        <f>SUM(R52:R56)</f>
        <v>121870.32</v>
      </c>
      <c r="S57" s="89">
        <f>SUM(S52:S56)</f>
        <v>110641</v>
      </c>
      <c r="T57" s="90">
        <f>SUM(R57:S57)</f>
        <v>232511.32</v>
      </c>
    </row>
    <row r="58" spans="18:20" x14ac:dyDescent="0.4">
      <c r="S58" s="91">
        <f>S57-R57</f>
        <v>-11229.320000000007</v>
      </c>
    </row>
    <row r="60" spans="18:20" x14ac:dyDescent="0.4">
      <c r="R60" s="87" t="s">
        <v>321</v>
      </c>
      <c r="S60" s="87" t="s">
        <v>322</v>
      </c>
    </row>
    <row r="61" spans="18:20" x14ac:dyDescent="0.4">
      <c r="R61" s="88"/>
      <c r="S61" s="88">
        <v>148299</v>
      </c>
    </row>
    <row r="62" spans="18:20" x14ac:dyDescent="0.4">
      <c r="R62" s="88">
        <v>47290</v>
      </c>
      <c r="S62" s="88">
        <v>477584</v>
      </c>
    </row>
    <row r="63" spans="18:20" x14ac:dyDescent="0.4">
      <c r="R63" s="88">
        <v>43231.360000000001</v>
      </c>
      <c r="S63" s="88">
        <v>56945</v>
      </c>
    </row>
    <row r="64" spans="18:20" x14ac:dyDescent="0.4">
      <c r="R64" s="88">
        <v>119221</v>
      </c>
      <c r="S64" s="88">
        <v>55698</v>
      </c>
    </row>
    <row r="65" spans="18:20" x14ac:dyDescent="0.4">
      <c r="R65" s="88">
        <v>22537</v>
      </c>
      <c r="S65" s="88">
        <v>92512</v>
      </c>
    </row>
    <row r="66" spans="18:20" x14ac:dyDescent="0.4">
      <c r="R66" s="88">
        <v>58765</v>
      </c>
      <c r="S66" s="88">
        <v>99000</v>
      </c>
    </row>
    <row r="67" spans="18:20" x14ac:dyDescent="0.4">
      <c r="R67" s="89">
        <f>SUM(R61:R66)</f>
        <v>291044.36</v>
      </c>
      <c r="S67" s="89">
        <f>SUM(S61:S66)</f>
        <v>930038</v>
      </c>
      <c r="T67" s="90">
        <f>SUM(R67:S67)</f>
        <v>1221082.3599999999</v>
      </c>
    </row>
    <row r="68" spans="18:20" x14ac:dyDescent="0.4">
      <c r="S68" s="91">
        <f>S67-R67</f>
        <v>638993.64</v>
      </c>
    </row>
    <row r="70" spans="18:20" x14ac:dyDescent="0.4">
      <c r="R70" s="87" t="s">
        <v>321</v>
      </c>
      <c r="S70" s="87" t="s">
        <v>322</v>
      </c>
    </row>
    <row r="71" spans="18:20" x14ac:dyDescent="0.4">
      <c r="R71" s="88"/>
      <c r="S71" s="88">
        <v>285233.27</v>
      </c>
    </row>
    <row r="72" spans="18:20" x14ac:dyDescent="0.4">
      <c r="R72" s="88"/>
      <c r="S72" s="88">
        <v>675650</v>
      </c>
    </row>
    <row r="73" spans="18:20" x14ac:dyDescent="0.4">
      <c r="R73" s="88"/>
      <c r="S73" s="88">
        <v>30570</v>
      </c>
    </row>
    <row r="74" spans="18:20" x14ac:dyDescent="0.4">
      <c r="R74" s="88"/>
      <c r="S74" s="88">
        <v>404655.91</v>
      </c>
    </row>
    <row r="75" spans="18:20" x14ac:dyDescent="0.4">
      <c r="R75" s="88">
        <v>11525</v>
      </c>
      <c r="S75" s="88"/>
    </row>
    <row r="76" spans="18:20" x14ac:dyDescent="0.4">
      <c r="R76" s="89">
        <f>SUM(R71:R75)</f>
        <v>11525</v>
      </c>
      <c r="S76" s="89">
        <f>SUM(S71:S75)</f>
        <v>1396109.18</v>
      </c>
      <c r="T76" s="90">
        <f>SUM(R76:S76)</f>
        <v>1407634.18</v>
      </c>
    </row>
    <row r="77" spans="18:20" x14ac:dyDescent="0.4">
      <c r="S77" s="91">
        <f>S76-R76</f>
        <v>1384584.18</v>
      </c>
    </row>
    <row r="79" spans="18:20" x14ac:dyDescent="0.4">
      <c r="R79" s="88">
        <v>460074.8</v>
      </c>
      <c r="S79" s="91">
        <f>R79/2</f>
        <v>230037.4</v>
      </c>
    </row>
    <row r="85" spans="18:20" x14ac:dyDescent="0.4">
      <c r="R85" s="87" t="s">
        <v>321</v>
      </c>
      <c r="S85" s="87" t="s">
        <v>322</v>
      </c>
    </row>
    <row r="86" spans="18:20" x14ac:dyDescent="0.4">
      <c r="R86" s="88"/>
      <c r="S86" s="88">
        <v>18175</v>
      </c>
    </row>
    <row r="87" spans="18:20" x14ac:dyDescent="0.4">
      <c r="R87" s="88"/>
      <c r="S87" s="88">
        <v>1600000</v>
      </c>
    </row>
    <row r="88" spans="18:20" x14ac:dyDescent="0.4">
      <c r="R88" s="88">
        <v>23500</v>
      </c>
      <c r="S88" s="88"/>
    </row>
    <row r="89" spans="18:20" x14ac:dyDescent="0.4">
      <c r="R89" s="89">
        <f>SUM(R86:R88)</f>
        <v>23500</v>
      </c>
      <c r="S89" s="89">
        <f>SUM(S86:S88)</f>
        <v>1618175</v>
      </c>
      <c r="T89" s="90">
        <f>SUM(R89:S89)</f>
        <v>1641675</v>
      </c>
    </row>
    <row r="90" spans="18:20" x14ac:dyDescent="0.4">
      <c r="S90" s="91">
        <f>S89-R89</f>
        <v>1594675</v>
      </c>
    </row>
  </sheetData>
  <hyperlinks>
    <hyperlink ref="A1" location="'Project Status'!A1" display="'Project Status'!A1" xr:uid="{730CBDDC-4FC5-4C71-90B3-44A3E957215E}"/>
  </hyperlinks>
  <pageMargins left="0.7" right="0.7" top="0.75" bottom="0.75" header="0.3" footer="0.3"/>
  <pageSetup orientation="portrait" horizontalDpi="4294967295" verticalDpi="4294967295"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E0440-14E2-461E-B433-A117D99397F4}">
  <sheetPr>
    <tabColor theme="0"/>
  </sheetPr>
  <dimension ref="A1:J24"/>
  <sheetViews>
    <sheetView zoomScaleNormal="100" workbookViewId="0">
      <selection activeCell="C24" sqref="C24"/>
    </sheetView>
  </sheetViews>
  <sheetFormatPr defaultColWidth="9.3046875" defaultRowHeight="14.6" x14ac:dyDescent="0.4"/>
  <cols>
    <col min="1" max="1" width="5.69140625" style="39" customWidth="1"/>
    <col min="2" max="2" width="25.53515625" style="39" bestFit="1" customWidth="1"/>
    <col min="3" max="3" width="14.53515625" style="49" bestFit="1" customWidth="1"/>
    <col min="4" max="4" width="5.69140625" style="39" customWidth="1"/>
    <col min="5" max="5" width="9.3046875" style="39"/>
    <col min="6" max="6" width="14.3046875" style="39" bestFit="1" customWidth="1"/>
    <col min="7" max="7" width="9.3046875" style="39"/>
    <col min="8" max="8" width="5.69140625" style="39" customWidth="1"/>
    <col min="9" max="19" width="9.3046875" style="39"/>
    <col min="20" max="20" width="9.3046875" style="39" customWidth="1"/>
    <col min="21" max="16384" width="9.3046875" style="39"/>
  </cols>
  <sheetData>
    <row r="1" spans="1:10" x14ac:dyDescent="0.4">
      <c r="A1" s="40" t="s">
        <v>254</v>
      </c>
    </row>
    <row r="2" spans="1:10" x14ac:dyDescent="0.4">
      <c r="B2" s="77" t="s">
        <v>139</v>
      </c>
    </row>
    <row r="3" spans="1:10" x14ac:dyDescent="0.4">
      <c r="B3" s="39" t="s">
        <v>141</v>
      </c>
    </row>
    <row r="4" spans="1:10" x14ac:dyDescent="0.4">
      <c r="B4" s="78" t="s">
        <v>140</v>
      </c>
      <c r="C4" s="79">
        <f>Contributions!C15</f>
        <v>9364499</v>
      </c>
    </row>
    <row r="5" spans="1:10" x14ac:dyDescent="0.4">
      <c r="B5" s="80" t="s">
        <v>144</v>
      </c>
      <c r="C5" s="81">
        <f>SUM(C1:C4)</f>
        <v>9364499</v>
      </c>
      <c r="J5" s="53"/>
    </row>
    <row r="8" spans="1:10" x14ac:dyDescent="0.4">
      <c r="B8" s="39" t="s">
        <v>142</v>
      </c>
      <c r="F8" s="54"/>
    </row>
    <row r="9" spans="1:10" x14ac:dyDescent="0.4">
      <c r="B9" s="53" t="s">
        <v>133</v>
      </c>
      <c r="C9" s="49">
        <f>SUMIF('10085'!$E:$E,'JE LOG_FY23'!B9,'10085'!$H:$H)+SUMIF('10098'!$E:$E,'JE LOG_FY23'!B9,'10098'!$H:$H)+SUMIF('10146'!$E:$E,'JE LOG_FY23'!B9,'10146'!$H:$H)+SUMIF('20179'!$E:$E,'JE LOG_FY23'!B9,'20179'!$H:$H)+SUMIF('20336'!$E:$E,'JE LOG_FY23'!B9,'20336'!$H:$H)+SUMIF('20431'!$E:$E,'JE LOG_FY23'!B9,'20431'!$H:$H)+SUMIF('20478'!$E:$E,'JE LOG_FY23'!B9,'20478'!$H:$H)+SUMIF('20489'!$E:$E,'JE LOG_FY23'!B9,'20489'!$H:$H)+SUMIF('20497'!$E:$E,'JE LOG_FY23'!B9,'20497'!$H:$H)+SUMIF('20506'!$E:$E,'JE LOG_FY23'!B9,'20506'!$H:$H)++SUMIF('20562'!$E:$E,'JE LOG_FY23'!B9,'20562'!$H:$H)+SUMIF('20566'!$E:$E,'JE LOG_FY23'!B9,'20566'!$H:$H)+SUMIF('20573'!$E:$E,'JE LOG_FY23'!B9,'20573'!$H:$H)+SUMIF('20574'!$E:$E,'JE LOG_FY23'!B9,'20574'!$H:$H)+SUMIF('20577'!$E:$E,'JE LOG_FY23'!B9,'20577'!$H:$H)+SUMIF('20644'!$E:$E,'JE LOG_FY23'!B9,'20644'!$H:$H)+SUMIF('20645'!$E:$E,'JE LOG_FY23'!B9,'20645'!$H:$H)+SUMIF('20667'!$E:$E,'JE LOG_FY23'!B9,'20667'!$H:$H)+SUMIF('20668'!$E:$E,'JE LOG_FY23'!B9,'20668'!$H:$H)+SUMIF('20698'!$E:$E,'JE LOG_FY23'!B9,'20698'!$H:$H)+SUMIF('20700'!$E:$E,'JE LOG_FY23'!B9,'20700'!$H:$H)+SUMIF('20701'!$E:$E,'JE LOG_FY23'!B9,'20701'!$H:$H)+SUMIF('20702'!$E:$E,'JE LOG_FY23'!B9,'20702'!$H:$H)+SUMIF('20718'!$E:$E,'JE LOG_FY23'!B9,'20718'!$H:$H)+SUMIF('20723'!$E:$E,'JE LOG_FY23'!B9,'20723'!$H:$H)+SUMIF('20724'!$E:$E,'JE LOG_FY23'!B9,'20724'!$H:$H)+SUMIF('20771'!$E:$E,'JE LOG_FY23'!B9,'20771'!$H:$H)+SUMIF('20735'!$E:$E,'JE LOG_FY23'!B9,'20735'!$H:$H)+SUMIF('20792'!$E:$E,'JE LOG_FY23'!B9,'20792'!$H:$H)</f>
        <v>2018595.5</v>
      </c>
      <c r="F9" s="82"/>
    </row>
    <row r="10" spans="1:10" x14ac:dyDescent="0.4">
      <c r="B10" s="53" t="s">
        <v>165</v>
      </c>
      <c r="C10" s="49">
        <f>SUMIF('10085'!$E:$E,'JE LOG_FY23'!B10,'10085'!$H:$H)+SUMIF('10098'!$E:$E,'JE LOG_FY23'!B10,'10098'!$H:$H)+SUMIF('10146'!$E:$E,'JE LOG_FY23'!B10,'10146'!$H:$H)+SUMIF('20179'!$E:$E,'JE LOG_FY23'!B10,'20179'!$H:$H)+SUMIF('20336'!$E:$E,'JE LOG_FY23'!B10,'20336'!$H:$H)+SUMIF('20431'!$E:$E,'JE LOG_FY23'!B10,'20431'!$H:$H)+SUMIF('20478'!$E:$E,'JE LOG_FY23'!B10,'20478'!$H:$H)+SUMIF('20489'!$E:$E,'JE LOG_FY23'!B10,'20489'!$H:$H)+SUMIF('20497'!$E:$E,'JE LOG_FY23'!B10,'20497'!$H:$H)+SUMIF('20506'!$E:$E,'JE LOG_FY23'!B10,'20506'!$H:$H)++SUMIF('20562'!$E:$E,'JE LOG_FY23'!B10,'20562'!$H:$H)+SUMIF('20566'!$E:$E,'JE LOG_FY23'!B10,'20566'!$H:$H)+SUMIF('20573'!$E:$E,'JE LOG_FY23'!B10,'20573'!$H:$H)+SUMIF('20574'!$E:$E,'JE LOG_FY23'!B10,'20574'!$H:$H)+SUMIF('20577'!$E:$E,'JE LOG_FY23'!B10,'20577'!$H:$H)+SUMIF('20644'!$E:$E,'JE LOG_FY23'!B10,'20644'!$H:$H)+SUMIF('20645'!$E:$E,'JE LOG_FY23'!B10,'20645'!$H:$H)+SUMIF('20667'!$E:$E,'JE LOG_FY23'!B10,'20667'!$H:$H)+SUMIF('20668'!$E:$E,'JE LOG_FY23'!B10,'20668'!$H:$H)+SUMIF('20698'!$E:$E,'JE LOG_FY23'!B10,'20698'!$H:$H)+SUMIF('20700'!$E:$E,'JE LOG_FY23'!B10,'20700'!$H:$H)+SUMIF('20701'!$E:$E,'JE LOG_FY23'!B10,'20701'!$H:$H)+SUMIF('20702'!$E:$E,'JE LOG_FY23'!B10,'20702'!$H:$H)+SUMIF('20718'!$E:$E,'JE LOG_FY23'!B10,'20718'!$H:$H)+SUMIF('20723'!$E:$E,'JE LOG_FY23'!B10,'20723'!$H:$H)+SUMIF('20724'!$E:$E,'JE LOG_FY23'!B10,'20724'!$H:$H)+SUMIF('20771'!$E:$E,'JE LOG_FY23'!B10,'20771'!$H:$H)+SUMIF('20735'!$E:$E,'JE LOG_FY23'!B10,'20735'!$H:$H)+SUMIF('20792'!$E:$E,'JE LOG_FY23'!B10,'20792'!$H:$H)</f>
        <v>85900</v>
      </c>
      <c r="F10" s="82"/>
    </row>
    <row r="11" spans="1:10" x14ac:dyDescent="0.4">
      <c r="B11" s="53" t="s">
        <v>172</v>
      </c>
      <c r="C11" s="49">
        <f>SUMIF('10085'!$E:$E,'JE LOG_FY23'!B11,'10085'!$H:$H)+SUMIF('10098'!$E:$E,'JE LOG_FY23'!B11,'10098'!$H:$H)+SUMIF('10146'!$E:$E,'JE LOG_FY23'!B11,'10146'!$H:$H)+SUMIF('20179'!$E:$E,'JE LOG_FY23'!B11,'20179'!$H:$H)+SUMIF('20336'!$E:$E,'JE LOG_FY23'!B11,'20336'!$H:$H)+SUMIF('20431'!$E:$E,'JE LOG_FY23'!B11,'20431'!$H:$H)+SUMIF('20478'!$E:$E,'JE LOG_FY23'!B11,'20478'!$H:$H)+SUMIF('20489'!$E:$E,'JE LOG_FY23'!B11,'20489'!$H:$H)+SUMIF('20497'!$E:$E,'JE LOG_FY23'!B11,'20497'!$H:$H)+SUMIF('20506'!$E:$E,'JE LOG_FY23'!B11,'20506'!$H:$H)++SUMIF('20562'!$E:$E,'JE LOG_FY23'!B11,'20562'!$H:$H)+SUMIF('20566'!$E:$E,'JE LOG_FY23'!B11,'20566'!$H:$H)+SUMIF('20573'!$E:$E,'JE LOG_FY23'!B11,'20573'!$H:$H)+SUMIF('20574'!$E:$E,'JE LOG_FY23'!B11,'20574'!$H:$H)+SUMIF('20577'!$E:$E,'JE LOG_FY23'!B11,'20577'!$H:$H)+SUMIF('20644'!$E:$E,'JE LOG_FY23'!B11,'20644'!$H:$H)+SUMIF('20645'!$E:$E,'JE LOG_FY23'!B11,'20645'!$H:$H)+SUMIF('20667'!$E:$E,'JE LOG_FY23'!B11,'20667'!$H:$H)+SUMIF('20668'!$E:$E,'JE LOG_FY23'!B11,'20668'!$H:$H)+SUMIF('20698'!$E:$E,'JE LOG_FY23'!B11,'20698'!$H:$H)+SUMIF('20700'!$E:$E,'JE LOG_FY23'!B11,'20700'!$H:$H)+SUMIF('20701'!$E:$E,'JE LOG_FY23'!B11,'20701'!$H:$H)+SUMIF('20702'!$E:$E,'JE LOG_FY23'!B11,'20702'!$H:$H)+SUMIF('20718'!$E:$E,'JE LOG_FY23'!B11,'20718'!$H:$H)+SUMIF('20723'!$E:$E,'JE LOG_FY23'!B11,'20723'!$H:$H)+SUMIF('20724'!$E:$E,'JE LOG_FY23'!B11,'20724'!$H:$H)+SUMIF('20771'!$E:$E,'JE LOG_FY23'!B11,'20771'!$H:$H)+SUMIF('20735'!$E:$E,'JE LOG_FY23'!B11,'20735'!$H:$H)+SUMIF('20792'!$E:$E,'JE LOG_FY23'!B11,'20792'!$H:$H)</f>
        <v>197362.5</v>
      </c>
      <c r="F11" s="82"/>
    </row>
    <row r="12" spans="1:10" x14ac:dyDescent="0.4">
      <c r="B12" s="53" t="s">
        <v>204</v>
      </c>
      <c r="C12" s="49">
        <f>SUMIF('10085'!$E:$E,'JE LOG_FY23'!B12,'10085'!$H:$H)+SUMIF('10098'!$E:$E,'JE LOG_FY23'!B12,'10098'!$H:$H)+SUMIF('10146'!$E:$E,'JE LOG_FY23'!B12,'10146'!$H:$H)+SUMIF('20179'!$E:$E,'JE LOG_FY23'!B12,'20179'!$H:$H)+SUMIF('20336'!$E:$E,'JE LOG_FY23'!B12,'20336'!$H:$H)+SUMIF('20431'!$E:$E,'JE LOG_FY23'!B12,'20431'!$H:$H)+SUMIF('20478'!$E:$E,'JE LOG_FY23'!B12,'20478'!$H:$H)+SUMIF('20489'!$E:$E,'JE LOG_FY23'!B12,'20489'!$H:$H)+SUMIF('20497'!$E:$E,'JE LOG_FY23'!B12,'20497'!$H:$H)+SUMIF('20506'!$E:$E,'JE LOG_FY23'!B12,'20506'!$H:$H)++SUMIF('20562'!$E:$E,'JE LOG_FY23'!B12,'20562'!$H:$H)+SUMIF('20566'!$E:$E,'JE LOG_FY23'!B12,'20566'!$H:$H)+SUMIF('20573'!$E:$E,'JE LOG_FY23'!B12,'20573'!$H:$H)+SUMIF('20574'!$E:$E,'JE LOG_FY23'!B12,'20574'!$H:$H)+SUMIF('20577'!$E:$E,'JE LOG_FY23'!B12,'20577'!$H:$H)+SUMIF('20644'!$E:$E,'JE LOG_FY23'!B12,'20644'!$H:$H)+SUMIF('20645'!$E:$E,'JE LOG_FY23'!B12,'20645'!$H:$H)+SUMIF('20667'!$E:$E,'JE LOG_FY23'!B12,'20667'!$H:$H)+SUMIF('20668'!$E:$E,'JE LOG_FY23'!B12,'20668'!$H:$H)+SUMIF('20698'!$E:$E,'JE LOG_FY23'!B12,'20698'!$H:$H)+SUMIF('20700'!$E:$E,'JE LOG_FY23'!B12,'20700'!$H:$H)+SUMIF('20701'!$E:$E,'JE LOG_FY23'!B12,'20701'!$H:$H)+SUMIF('20702'!$E:$E,'JE LOG_FY23'!B12,'20702'!$H:$H)+SUMIF('20718'!$E:$E,'JE LOG_FY23'!B12,'20718'!$H:$H)+SUMIF('20723'!$E:$E,'JE LOG_FY23'!B12,'20723'!$H:$H)+SUMIF('20724'!$E:$E,'JE LOG_FY23'!B12,'20724'!$H:$H)+SUMIF('20771'!$E:$E,'JE LOG_FY23'!B12,'20771'!$H:$H)+SUMIF('20735'!$E:$E,'JE LOG_FY23'!B12,'20735'!$H:$H)+SUMIF('20792'!$E:$E,'JE LOG_FY23'!B12,'20792'!$H:$H)</f>
        <v>791392</v>
      </c>
      <c r="F12" s="82"/>
    </row>
    <row r="13" spans="1:10" x14ac:dyDescent="0.4">
      <c r="B13" s="53" t="s">
        <v>214</v>
      </c>
      <c r="C13" s="49">
        <f>SUMIF('10085'!$E:$E,'JE LOG_FY23'!B13,'10085'!$H:$H)+SUMIF('10098'!$E:$E,'JE LOG_FY23'!B13,'10098'!$H:$H)+SUMIF('10146'!$E:$E,'JE LOG_FY23'!B13,'10146'!$H:$H)+SUMIF('20179'!$E:$E,'JE LOG_FY23'!B13,'20179'!$H:$H)+SUMIF('20336'!$E:$E,'JE LOG_FY23'!B13,'20336'!$H:$H)+SUMIF('20431'!$E:$E,'JE LOG_FY23'!B13,'20431'!$H:$H)+SUMIF('20478'!$E:$E,'JE LOG_FY23'!B13,'20478'!$H:$H)+SUMIF('20489'!$E:$E,'JE LOG_FY23'!B13,'20489'!$H:$H)+SUMIF('20497'!$E:$E,'JE LOG_FY23'!B13,'20497'!$H:$H)+SUMIF('20506'!$E:$E,'JE LOG_FY23'!B13,'20506'!$H:$H)++SUMIF('20562'!$E:$E,'JE LOG_FY23'!B13,'20562'!$H:$H)+SUMIF('20566'!$E:$E,'JE LOG_FY23'!B13,'20566'!$H:$H)+SUMIF('20573'!$E:$E,'JE LOG_FY23'!B13,'20573'!$H:$H)+SUMIF('20574'!$E:$E,'JE LOG_FY23'!B13,'20574'!$H:$H)+SUMIF('20577'!$E:$E,'JE LOG_FY23'!B13,'20577'!$H:$H)+SUMIF('20644'!$E:$E,'JE LOG_FY23'!B13,'20644'!$H:$H)+SUMIF('20645'!$E:$E,'JE LOG_FY23'!B13,'20645'!$H:$H)+SUMIF('20667'!$E:$E,'JE LOG_FY23'!B13,'20667'!$H:$H)+SUMIF('20668'!$E:$E,'JE LOG_FY23'!B13,'20668'!$H:$H)+SUMIF('20698'!$E:$E,'JE LOG_FY23'!B13,'20698'!$H:$H)+SUMIF('20700'!$E:$E,'JE LOG_FY23'!B13,'20700'!$H:$H)+SUMIF('20701'!$E:$E,'JE LOG_FY23'!B13,'20701'!$H:$H)+SUMIF('20702'!$E:$E,'JE LOG_FY23'!B13,'20702'!$H:$H)+SUMIF('20718'!$E:$E,'JE LOG_FY23'!B13,'20718'!$H:$H)+SUMIF('20723'!$E:$E,'JE LOG_FY23'!B13,'20723'!$H:$H)+SUMIF('20724'!$E:$E,'JE LOG_FY23'!B13,'20724'!$H:$H)+SUMIF('20771'!$E:$E,'JE LOG_FY23'!B13,'20771'!$H:$H)+SUMIF('20735'!$E:$E,'JE LOG_FY23'!B13,'20735'!$H:$H)+SUMIF('20792'!$E:$E,'JE LOG_FY23'!B13,'20792'!$H:$H)</f>
        <v>776870</v>
      </c>
      <c r="F13" s="82"/>
    </row>
    <row r="14" spans="1:10" x14ac:dyDescent="0.4">
      <c r="B14" s="53" t="s">
        <v>219</v>
      </c>
      <c r="C14" s="49">
        <f>SUMIF('10085'!$E:$E,'JE LOG_FY23'!B14,'10085'!$H:$H)+SUMIF('10098'!$E:$E,'JE LOG_FY23'!B14,'10098'!$H:$H)+SUMIF('10146'!$E:$E,'JE LOG_FY23'!B14,'10146'!$H:$H)+SUMIF('20179'!$E:$E,'JE LOG_FY23'!B14,'20179'!$H:$H)+SUMIF('20336'!$E:$E,'JE LOG_FY23'!B14,'20336'!$H:$H)+SUMIF('20431'!$E:$E,'JE LOG_FY23'!B14,'20431'!$H:$H)+SUMIF('20478'!$E:$E,'JE LOG_FY23'!B14,'20478'!$H:$H)+SUMIF('20489'!$E:$E,'JE LOG_FY23'!B14,'20489'!$H:$H)+SUMIF('20497'!$E:$E,'JE LOG_FY23'!B14,'20497'!$H:$H)+SUMIF('20506'!$E:$E,'JE LOG_FY23'!B14,'20506'!$H:$H)++SUMIF('20562'!$E:$E,'JE LOG_FY23'!B14,'20562'!$H:$H)+SUMIF('20566'!$E:$E,'JE LOG_FY23'!B14,'20566'!$H:$H)+SUMIF('20573'!$E:$E,'JE LOG_FY23'!B14,'20573'!$H:$H)+SUMIF('20574'!$E:$E,'JE LOG_FY23'!B14,'20574'!$H:$H)+SUMIF('20577'!$E:$E,'JE LOG_FY23'!B14,'20577'!$H:$H)+SUMIF('20644'!$E:$E,'JE LOG_FY23'!B14,'20644'!$H:$H)+SUMIF('20645'!$E:$E,'JE LOG_FY23'!B14,'20645'!$H:$H)+SUMIF('20667'!$E:$E,'JE LOG_FY23'!B14,'20667'!$H:$H)+SUMIF('20668'!$E:$E,'JE LOG_FY23'!B14,'20668'!$H:$H)+SUMIF('20698'!$E:$E,'JE LOG_FY23'!B14,'20698'!$H:$H)+SUMIF('20700'!$E:$E,'JE LOG_FY23'!B14,'20700'!$H:$H)+SUMIF('20701'!$E:$E,'JE LOG_FY23'!B14,'20701'!$H:$H)+SUMIF('20702'!$E:$E,'JE LOG_FY23'!B14,'20702'!$H:$H)+SUMIF('20718'!$E:$E,'JE LOG_FY23'!B14,'20718'!$H:$H)+SUMIF('20723'!$E:$E,'JE LOG_FY23'!B14,'20723'!$H:$H)+SUMIF('20724'!$E:$E,'JE LOG_FY23'!B14,'20724'!$H:$H)+SUMIF('20771'!$E:$E,'JE LOG_FY23'!B14,'20771'!$H:$H)+SUMIF('20735'!$E:$E,'JE LOG_FY23'!B14,'20735'!$H:$H)+SUMIF('20792'!$E:$E,'JE LOG_FY23'!B14,'20792'!$H:$H)</f>
        <v>823832</v>
      </c>
      <c r="F14" s="82"/>
    </row>
    <row r="15" spans="1:10" x14ac:dyDescent="0.4">
      <c r="B15" s="53" t="s">
        <v>225</v>
      </c>
      <c r="C15" s="49">
        <f>SUMIF('10085'!$E:$E,'JE LOG_FY23'!B15,'10085'!$H:$H)+SUMIF('10098'!$E:$E,'JE LOG_FY23'!B15,'10098'!$H:$H)+SUMIF('10146'!$E:$E,'JE LOG_FY23'!B15,'10146'!$H:$H)+SUMIF('20179'!$E:$E,'JE LOG_FY23'!B15,'20179'!$H:$H)+SUMIF('20336'!$E:$E,'JE LOG_FY23'!B15,'20336'!$H:$H)+SUMIF('20431'!$E:$E,'JE LOG_FY23'!B15,'20431'!$H:$H)+SUMIF('20478'!$E:$E,'JE LOG_FY23'!B15,'20478'!$H:$H)+SUMIF('20489'!$E:$E,'JE LOG_FY23'!B15,'20489'!$H:$H)+SUMIF('20497'!$E:$E,'JE LOG_FY23'!B15,'20497'!$H:$H)+SUMIF('20506'!$E:$E,'JE LOG_FY23'!B15,'20506'!$H:$H)++SUMIF('20562'!$E:$E,'JE LOG_FY23'!B15,'20562'!$H:$H)+SUMIF('20566'!$E:$E,'JE LOG_FY23'!B15,'20566'!$H:$H)+SUMIF('20573'!$E:$E,'JE LOG_FY23'!B15,'20573'!$H:$H)+SUMIF('20574'!$E:$E,'JE LOG_FY23'!B15,'20574'!$H:$H)+SUMIF('20577'!$E:$E,'JE LOG_FY23'!B15,'20577'!$H:$H)+SUMIF('20644'!$E:$E,'JE LOG_FY23'!B15,'20644'!$H:$H)+SUMIF('20645'!$E:$E,'JE LOG_FY23'!B15,'20645'!$H:$H)+SUMIF('20667'!$E:$E,'JE LOG_FY23'!B15,'20667'!$H:$H)+SUMIF('20668'!$E:$E,'JE LOG_FY23'!B15,'20668'!$H:$H)+SUMIF('20698'!$E:$E,'JE LOG_FY23'!B15,'20698'!$H:$H)+SUMIF('20700'!$E:$E,'JE LOG_FY23'!B15,'20700'!$H:$H)+SUMIF('20701'!$E:$E,'JE LOG_FY23'!B15,'20701'!$H:$H)+SUMIF('20702'!$E:$E,'JE LOG_FY23'!B15,'20702'!$H:$H)+SUMIF('20718'!$E:$E,'JE LOG_FY23'!B15,'20718'!$H:$H)+SUMIF('20723'!$E:$E,'JE LOG_FY23'!B15,'20723'!$H:$H)+SUMIF('20724'!$E:$E,'JE LOG_FY23'!B15,'20724'!$H:$H)+SUMIF('20771'!$E:$E,'JE LOG_FY23'!B15,'20771'!$H:$H)+SUMIF('20735'!$E:$E,'JE LOG_FY23'!B15,'20735'!$H:$H)+SUMIF('20792'!$E:$E,'JE LOG_FY23'!B15,'20792'!$H:$H)</f>
        <v>1294681</v>
      </c>
      <c r="F15" s="82"/>
    </row>
    <row r="16" spans="1:10" x14ac:dyDescent="0.4">
      <c r="B16" s="53" t="s">
        <v>235</v>
      </c>
      <c r="C16" s="49">
        <f>SUMIF('10085'!$E:$E,'JE LOG_FY23'!B16,'10085'!$H:$H)+SUMIF('10098'!$E:$E,'JE LOG_FY23'!B16,'10098'!$H:$H)+SUMIF('10146'!$E:$E,'JE LOG_FY23'!B16,'10146'!$H:$H)+SUMIF('20179'!$E:$E,'JE LOG_FY23'!B16,'20179'!$H:$H)+SUMIF('20336'!$E:$E,'JE LOG_FY23'!B16,'20336'!$H:$H)+SUMIF('20431'!$E:$E,'JE LOG_FY23'!B16,'20431'!$H:$H)+SUMIF('20478'!$E:$E,'JE LOG_FY23'!B16,'20478'!$H:$H)+SUMIF('20489'!$E:$E,'JE LOG_FY23'!B16,'20489'!$H:$H)+SUMIF('20497'!$E:$E,'JE LOG_FY23'!B16,'20497'!$H:$H)+SUMIF('20506'!$E:$E,'JE LOG_FY23'!B16,'20506'!$H:$H)++SUMIF('20562'!$E:$E,'JE LOG_FY23'!B16,'20562'!$H:$H)+SUMIF('20566'!$E:$E,'JE LOG_FY23'!B16,'20566'!$H:$H)+SUMIF('20573'!$E:$E,'JE LOG_FY23'!B16,'20573'!$H:$H)+SUMIF('20574'!$E:$E,'JE LOG_FY23'!B16,'20574'!$H:$H)+SUMIF('20577'!$E:$E,'JE LOG_FY23'!B16,'20577'!$H:$H)+SUMIF('20644'!$E:$E,'JE LOG_FY23'!B16,'20644'!$H:$H)+SUMIF('20645'!$E:$E,'JE LOG_FY23'!B16,'20645'!$H:$H)+SUMIF('20667'!$E:$E,'JE LOG_FY23'!B16,'20667'!$H:$H)+SUMIF('20668'!$E:$E,'JE LOG_FY23'!B16,'20668'!$H:$H)+SUMIF('20698'!$E:$E,'JE LOG_FY23'!B16,'20698'!$H:$H)+SUMIF('20700'!$E:$E,'JE LOG_FY23'!B16,'20700'!$H:$H)+SUMIF('20701'!$E:$E,'JE LOG_FY23'!B16,'20701'!$H:$H)+SUMIF('20702'!$E:$E,'JE LOG_FY23'!B16,'20702'!$H:$H)+SUMIF('20718'!$E:$E,'JE LOG_FY23'!B16,'20718'!$H:$H)+SUMIF('20723'!$E:$E,'JE LOG_FY23'!B16,'20723'!$H:$H)+SUMIF('20724'!$E:$E,'JE LOG_FY23'!B16,'20724'!$H:$H)+SUMIF('20771'!$E:$E,'JE LOG_FY23'!B16,'20771'!$H:$H)+SUMIF('20735'!$E:$E,'JE LOG_FY23'!B16,'20735'!$H:$H)+SUMIF('20792'!$E:$E,'JE LOG_FY23'!B16,'20792'!$H:$H)</f>
        <v>730127</v>
      </c>
      <c r="F16" s="82"/>
    </row>
    <row r="17" spans="1:8" x14ac:dyDescent="0.4">
      <c r="B17" s="53" t="s">
        <v>251</v>
      </c>
      <c r="C17" s="49">
        <f>SUMIF('10085'!$E:$E,'JE LOG_FY23'!B17,'10085'!$H:$H)+SUMIF('10098'!$E:$E,'JE LOG_FY23'!B17,'10098'!$H:$H)+SUMIF('10146'!$E:$E,'JE LOG_FY23'!B17,'10146'!$H:$H)+SUMIF('20179'!$E:$E,'JE LOG_FY23'!B17,'20179'!$H:$H)+SUMIF('20336'!$E:$E,'JE LOG_FY23'!B17,'20336'!$H:$H)+SUMIF('20431'!$E:$E,'JE LOG_FY23'!B17,'20431'!$H:$H)+SUMIF('20478'!$E:$E,'JE LOG_FY23'!B17,'20478'!$H:$H)+SUMIF('20489'!$E:$E,'JE LOG_FY23'!B17,'20489'!$H:$H)+SUMIF('20497'!$E:$E,'JE LOG_FY23'!B17,'20497'!$H:$H)+SUMIF('20506'!$E:$E,'JE LOG_FY23'!B17,'20506'!$H:$H)++SUMIF('20562'!$E:$E,'JE LOG_FY23'!B17,'20562'!$H:$H)+SUMIF('20566'!$E:$E,'JE LOG_FY23'!B17,'20566'!$H:$H)+SUMIF('20573'!$E:$E,'JE LOG_FY23'!B17,'20573'!$H:$H)+SUMIF('20574'!$E:$E,'JE LOG_FY23'!B17,'20574'!$H:$H)+SUMIF('20577'!$E:$E,'JE LOG_FY23'!B17,'20577'!$H:$H)+SUMIF('20644'!$E:$E,'JE LOG_FY23'!B17,'20644'!$H:$H)+SUMIF('20645'!$E:$E,'JE LOG_FY23'!B17,'20645'!$H:$H)+SUMIF('20667'!$E:$E,'JE LOG_FY23'!B17,'20667'!$H:$H)+SUMIF('20668'!$E:$E,'JE LOG_FY23'!B17,'20668'!$H:$H)+SUMIF('20698'!$E:$E,'JE LOG_FY23'!B17,'20698'!$H:$H)+SUMIF('20700'!$E:$E,'JE LOG_FY23'!B17,'20700'!$H:$H)+SUMIF('20701'!$E:$E,'JE LOG_FY23'!B17,'20701'!$H:$H)+SUMIF('20702'!$E:$E,'JE LOG_FY23'!B17,'20702'!$H:$H)+SUMIF('20718'!$E:$E,'JE LOG_FY23'!B17,'20718'!$H:$H)+SUMIF('20723'!$E:$E,'JE LOG_FY23'!B17,'20723'!$H:$H)+SUMIF('20724'!$E:$E,'JE LOG_FY23'!B17,'20724'!$H:$H)+SUMIF('20771'!$E:$E,'JE LOG_FY23'!B17,'20771'!$H:$H)+SUMIF('20735'!$E:$E,'JE LOG_FY23'!B17,'20735'!$H:$H)+SUMIF('20792'!$E:$E,'JE LOG_FY23'!B17,'20792'!$H:$H)</f>
        <v>1067545.26</v>
      </c>
      <c r="F17" s="49"/>
    </row>
    <row r="18" spans="1:8" x14ac:dyDescent="0.4">
      <c r="B18" s="53" t="s">
        <v>256</v>
      </c>
      <c r="C18" s="49">
        <f>SUMIF('10085'!$E:$E,'JE LOG_FY23'!B18,'10085'!$H:$H)+SUMIF('10098'!$E:$E,'JE LOG_FY23'!B18,'10098'!$H:$H)+SUMIF('10146'!$E:$E,'JE LOG_FY23'!B18,'10146'!$H:$H)+SUMIF('20179'!$E:$E,'JE LOG_FY23'!B18,'20179'!$H:$H)+SUMIF('20336'!$E:$E,'JE LOG_FY23'!B18,'20336'!$H:$H)+SUMIF('20431'!$E:$E,'JE LOG_FY23'!B18,'20431'!$H:$H)+SUMIF('20478'!$E:$E,'JE LOG_FY23'!B18,'20478'!$H:$H)+SUMIF('20489'!$E:$E,'JE LOG_FY23'!B18,'20489'!$H:$H)+SUMIF('20497'!$E:$E,'JE LOG_FY23'!B18,'20497'!$H:$H)+SUMIF('20506'!$E:$E,'JE LOG_FY23'!B18,'20506'!$H:$H)++SUMIF('20562'!$E:$E,'JE LOG_FY23'!B18,'20562'!$H:$H)+SUMIF('20566'!$E:$E,'JE LOG_FY23'!B18,'20566'!$H:$H)+SUMIF('20573'!$E:$E,'JE LOG_FY23'!B18,'20573'!$H:$H)+SUMIF('20574'!$E:$E,'JE LOG_FY23'!B18,'20574'!$H:$H)+SUMIF('20577'!$E:$E,'JE LOG_FY23'!B18,'20577'!$H:$H)+SUMIF('20644'!$E:$E,'JE LOG_FY23'!B18,'20644'!$H:$H)+SUMIF('20645'!$E:$E,'JE LOG_FY23'!B18,'20645'!$H:$H)+SUMIF('20667'!$E:$E,'JE LOG_FY23'!B18,'20667'!$H:$H)+SUMIF('20668'!$E:$E,'JE LOG_FY23'!B18,'20668'!$H:$H)+SUMIF('20698'!$E:$E,'JE LOG_FY23'!B18,'20698'!$H:$H)+SUMIF('20700'!$E:$E,'JE LOG_FY23'!B18,'20700'!$H:$H)+SUMIF('20701'!$E:$E,'JE LOG_FY23'!B18,'20701'!$H:$H)+SUMIF('20702'!$E:$E,'JE LOG_FY23'!B18,'20702'!$H:$H)+SUMIF('20718'!$E:$E,'JE LOG_FY23'!B18,'20718'!$H:$H)+SUMIF('20723'!$E:$E,'JE LOG_FY23'!B18,'20723'!$H:$H)+SUMIF('20724'!$E:$E,'JE LOG_FY23'!B18,'20724'!$H:$H)+SUMIF('20771'!$E:$E,'JE LOG_FY23'!B18,'20771'!$H:$H)+SUMIF('20735'!$E:$E,'JE LOG_FY23'!B18,'20735'!$H:$H)+SUMIF('20792'!$E:$E,'JE LOG_FY23'!B18,'20792'!$H:$H)</f>
        <v>305700</v>
      </c>
      <c r="F18" s="49"/>
    </row>
    <row r="19" spans="1:8" x14ac:dyDescent="0.4">
      <c r="B19" s="53" t="s">
        <v>261</v>
      </c>
      <c r="C19" s="49">
        <f>SUMIF('10085'!$E:$E,'JE LOG_FY23'!B19,'10085'!$H:$H)+SUMIF('10098'!$E:$E,'JE LOG_FY23'!B19,'10098'!$H:$H)+SUMIF('10146'!$E:$E,'JE LOG_FY23'!B19,'10146'!$H:$H)+SUMIF('20179'!$E:$E,'JE LOG_FY23'!B19,'20179'!$H:$H)+SUMIF('20336'!$E:$E,'JE LOG_FY23'!B19,'20336'!$H:$H)+SUMIF('20431'!$E:$E,'JE LOG_FY23'!B19,'20431'!$H:$H)+SUMIF('20478'!$E:$E,'JE LOG_FY23'!B19,'20478'!$H:$H)+SUMIF('20489'!$E:$E,'JE LOG_FY23'!B19,'20489'!$H:$H)+SUMIF('20497'!$E:$E,'JE LOG_FY23'!B19,'20497'!$H:$H)+SUMIF('20506'!$E:$E,'JE LOG_FY23'!B19,'20506'!$H:$H)++SUMIF('20562'!$E:$E,'JE LOG_FY23'!B19,'20562'!$H:$H)+SUMIF('20566'!$E:$E,'JE LOG_FY23'!B19,'20566'!$H:$H)+SUMIF('20573'!$E:$E,'JE LOG_FY23'!B19,'20573'!$H:$H)+SUMIF('20574'!$E:$E,'JE LOG_FY23'!B19,'20574'!$H:$H)+SUMIF('20577'!$E:$E,'JE LOG_FY23'!B19,'20577'!$H:$H)+SUMIF('20644'!$E:$E,'JE LOG_FY23'!B19,'20644'!$H:$H)+SUMIF('20645'!$E:$E,'JE LOG_FY23'!B19,'20645'!$H:$H)+SUMIF('20667'!$E:$E,'JE LOG_FY23'!B19,'20667'!$H:$H)+SUMIF('20668'!$E:$E,'JE LOG_FY23'!B19,'20668'!$H:$H)+SUMIF('20698'!$E:$E,'JE LOG_FY23'!B19,'20698'!$H:$H)+SUMIF('20700'!$E:$E,'JE LOG_FY23'!B19,'20700'!$H:$H)+SUMIF('20701'!$E:$E,'JE LOG_FY23'!B19,'20701'!$H:$H)+SUMIF('20702'!$E:$E,'JE LOG_FY23'!B19,'20702'!$H:$H)+SUMIF('20718'!$E:$E,'JE LOG_FY23'!B19,'20718'!$H:$H)+SUMIF('20723'!$E:$E,'JE LOG_FY23'!B19,'20723'!$H:$H)+SUMIF('20724'!$E:$E,'JE LOG_FY23'!B19,'20724'!$H:$H)+SUMIF('20771'!$E:$E,'JE LOG_FY23'!B19,'20771'!$H:$H)+SUMIF('20735'!$E:$E,'JE LOG_FY23'!B19,'20735'!$H:$H)+SUMIF('20792'!$E:$E,'JE LOG_FY23'!B19,'20792'!$H:$H)</f>
        <v>226341</v>
      </c>
    </row>
    <row r="20" spans="1:8" x14ac:dyDescent="0.4">
      <c r="B20" s="78" t="s">
        <v>285</v>
      </c>
      <c r="C20" s="79">
        <f>SUMIF('10085'!$E:$E,'JE LOG_FY23'!B20,'10085'!$H:$H)+SUMIF('10098'!$E:$E,'JE LOG_FY23'!B20,'10098'!$H:$H)+SUMIF('10146'!$E:$E,'JE LOG_FY23'!B20,'10146'!$H:$H)+SUMIF('20179'!$E:$E,'JE LOG_FY23'!B20,'20179'!$H:$H)+SUMIF('20336'!$E:$E,'JE LOG_FY23'!B20,'20336'!$H:$H)+SUMIF('20431'!$E:$E,'JE LOG_FY23'!B20,'20431'!$H:$H)+SUMIF('20478'!$E:$E,'JE LOG_FY23'!B20,'20478'!$H:$H)+SUMIF('20489'!$E:$E,'JE LOG_FY23'!B20,'20489'!$H:$H)+SUMIF('20497'!$E:$E,'JE LOG_FY23'!B20,'20497'!$H:$H)+SUMIF('20506'!$E:$E,'JE LOG_FY23'!B20,'20506'!$H:$H)++SUMIF('20562'!$E:$E,'JE LOG_FY23'!B20,'20562'!$H:$H)+SUMIF('20566'!$E:$E,'JE LOG_FY23'!B20,'20566'!$H:$H)+SUMIF('20573'!$E:$E,'JE LOG_FY23'!B20,'20573'!$H:$H)+SUMIF('20574'!$E:$E,'JE LOG_FY23'!B20,'20574'!$H:$H)+SUMIF('20577'!$E:$E,'JE LOG_FY23'!B20,'20577'!$H:$H)+SUMIF('20644'!$E:$E,'JE LOG_FY23'!B20,'20644'!$H:$H)+SUMIF('20645'!$E:$E,'JE LOG_FY23'!B20,'20645'!$H:$H)+SUMIF('20667'!$E:$E,'JE LOG_FY23'!B20,'20667'!$H:$H)+SUMIF('20668'!$E:$E,'JE LOG_FY23'!B20,'20668'!$H:$H)+SUMIF('20698'!$E:$E,'JE LOG_FY23'!B20,'20698'!$H:$H)+SUMIF('20700'!$E:$E,'JE LOG_FY23'!B20,'20700'!$H:$H)+SUMIF('20701'!$E:$E,'JE LOG_FY23'!B20,'20701'!$H:$H)+SUMIF('20702'!$E:$E,'JE LOG_FY23'!B20,'20702'!$H:$H)+SUMIF('20718'!$E:$E,'JE LOG_FY23'!B20,'20718'!$H:$H)+SUMIF('20723'!$E:$E,'JE LOG_FY23'!B20,'20723'!$H:$H)+SUMIF('20724'!$E:$E,'JE LOG_FY23'!B20,'20724'!$H:$H)+SUMIF('20771'!$E:$E,'JE LOG_FY23'!B20,'20771'!$H:$H)+SUMIF('20735'!$E:$E,'JE LOG_FY23'!B20,'20735'!$H:$H)+SUMIF('20792'!$E:$E,'JE LOG_FY23'!B20,'20792'!$H:$H)</f>
        <v>478940</v>
      </c>
    </row>
    <row r="21" spans="1:8" x14ac:dyDescent="0.4">
      <c r="A21" s="50"/>
      <c r="B21" s="83" t="s">
        <v>143</v>
      </c>
      <c r="C21" s="84">
        <f>SUM(C9:C20)</f>
        <v>8797286.2599999998</v>
      </c>
      <c r="D21" s="50"/>
      <c r="H21" s="50"/>
    </row>
    <row r="24" spans="1:8" x14ac:dyDescent="0.4">
      <c r="A24" s="50"/>
      <c r="B24" s="85" t="s">
        <v>135</v>
      </c>
      <c r="C24" s="86">
        <f>C5-C21</f>
        <v>567212.74000000022</v>
      </c>
      <c r="D24" s="50"/>
      <c r="H24" s="50"/>
    </row>
  </sheetData>
  <hyperlinks>
    <hyperlink ref="A1" location="'Project Status'!A1" display="'Project Status'!A1" xr:uid="{D54CCFE6-2282-4CB1-A38A-149F87628119}"/>
  </hyperlinks>
  <pageMargins left="0.7" right="0.7" top="0.75" bottom="0.75" header="0.3" footer="0.3"/>
  <pageSetup orientation="portrait" horizontalDpi="4294967295" verticalDpi="4294967295"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6C60F-7373-4335-B86B-B4C875BB43D4}">
  <dimension ref="B1:C17"/>
  <sheetViews>
    <sheetView workbookViewId="0"/>
  </sheetViews>
  <sheetFormatPr defaultColWidth="9.3046875" defaultRowHeight="14.6" x14ac:dyDescent="0.4"/>
  <cols>
    <col min="1" max="1" width="9.3046875" style="39"/>
    <col min="2" max="2" width="38.15234375" style="39" bestFit="1" customWidth="1"/>
    <col min="3" max="3" width="17.15234375" style="39" bestFit="1" customWidth="1"/>
    <col min="4" max="16384" width="9.3046875" style="39"/>
  </cols>
  <sheetData>
    <row r="1" spans="2:3" x14ac:dyDescent="0.4">
      <c r="B1" s="94" t="s">
        <v>124</v>
      </c>
      <c r="C1" s="94" t="s">
        <v>187</v>
      </c>
    </row>
    <row r="2" spans="2:3" x14ac:dyDescent="0.4">
      <c r="B2" s="39" t="s">
        <v>367</v>
      </c>
      <c r="C2" s="39" t="s">
        <v>345</v>
      </c>
    </row>
    <row r="3" spans="2:3" x14ac:dyDescent="0.4">
      <c r="B3" s="39" t="s">
        <v>10</v>
      </c>
      <c r="C3" s="39" t="s">
        <v>188</v>
      </c>
    </row>
    <row r="4" spans="2:3" x14ac:dyDescent="0.4">
      <c r="B4" s="39" t="s">
        <v>413</v>
      </c>
      <c r="C4" s="39" t="s">
        <v>188</v>
      </c>
    </row>
    <row r="5" spans="2:3" x14ac:dyDescent="0.4">
      <c r="B5" s="39" t="s">
        <v>12</v>
      </c>
      <c r="C5" s="39" t="s">
        <v>190</v>
      </c>
    </row>
    <row r="6" spans="2:3" x14ac:dyDescent="0.4">
      <c r="B6" s="39" t="s">
        <v>14</v>
      </c>
      <c r="C6" s="39" t="s">
        <v>191</v>
      </c>
    </row>
    <row r="7" spans="2:3" x14ac:dyDescent="0.4">
      <c r="B7" s="39" t="s">
        <v>15</v>
      </c>
      <c r="C7" s="39" t="s">
        <v>192</v>
      </c>
    </row>
    <row r="8" spans="2:3" x14ac:dyDescent="0.4">
      <c r="B8" s="39" t="s">
        <v>19</v>
      </c>
      <c r="C8" s="39" t="s">
        <v>193</v>
      </c>
    </row>
    <row r="9" spans="2:3" x14ac:dyDescent="0.4">
      <c r="B9" s="39" t="s">
        <v>586</v>
      </c>
      <c r="C9" s="39" t="s">
        <v>193</v>
      </c>
    </row>
    <row r="10" spans="2:3" x14ac:dyDescent="0.4">
      <c r="B10" s="39" t="s">
        <v>153</v>
      </c>
      <c r="C10" s="39" t="s">
        <v>193</v>
      </c>
    </row>
    <row r="11" spans="2:3" x14ac:dyDescent="0.4">
      <c r="B11" s="39" t="s">
        <v>21</v>
      </c>
      <c r="C11" s="39" t="s">
        <v>665</v>
      </c>
    </row>
    <row r="12" spans="2:3" x14ac:dyDescent="0.4">
      <c r="B12" s="39" t="s">
        <v>25</v>
      </c>
      <c r="C12" s="39" t="s">
        <v>666</v>
      </c>
    </row>
    <row r="13" spans="2:3" x14ac:dyDescent="0.4">
      <c r="B13" s="39" t="s">
        <v>174</v>
      </c>
      <c r="C13" s="39" t="s">
        <v>666</v>
      </c>
    </row>
    <row r="14" spans="2:3" x14ac:dyDescent="0.4">
      <c r="B14" s="39" t="s">
        <v>26</v>
      </c>
      <c r="C14" s="39" t="s">
        <v>189</v>
      </c>
    </row>
    <row r="15" spans="2:3" x14ac:dyDescent="0.4">
      <c r="B15" s="39" t="s">
        <v>585</v>
      </c>
      <c r="C15" s="39" t="s">
        <v>189</v>
      </c>
    </row>
    <row r="16" spans="2:3" x14ac:dyDescent="0.4">
      <c r="B16" s="39" t="s">
        <v>28</v>
      </c>
      <c r="C16" s="39" t="s">
        <v>194</v>
      </c>
    </row>
    <row r="17" spans="2:3" x14ac:dyDescent="0.4">
      <c r="B17" s="39" t="s">
        <v>662</v>
      </c>
      <c r="C17" s="39" t="s">
        <v>667</v>
      </c>
    </row>
  </sheetData>
  <sortState xmlns:xlrd2="http://schemas.microsoft.com/office/spreadsheetml/2017/richdata2" ref="F2:F88">
    <sortCondition ref="F2:F88"/>
  </sortState>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2CF8A-FD00-48A2-B1BF-939771488841}">
  <dimension ref="A2:E41"/>
  <sheetViews>
    <sheetView workbookViewId="0">
      <pane ySplit="2" topLeftCell="A3" activePane="bottomLeft" state="frozen"/>
      <selection pane="bottomLeft"/>
    </sheetView>
  </sheetViews>
  <sheetFormatPr defaultRowHeight="14.6" x14ac:dyDescent="0.4"/>
  <cols>
    <col min="1" max="1" width="70.3046875" bestFit="1" customWidth="1"/>
    <col min="2" max="2" width="18.3046875" bestFit="1" customWidth="1"/>
    <col min="3" max="3" width="32.69140625" bestFit="1" customWidth="1"/>
    <col min="4" max="4" width="10.53515625" bestFit="1" customWidth="1"/>
    <col min="5" max="5" width="14.3046875" bestFit="1" customWidth="1"/>
  </cols>
  <sheetData>
    <row r="2" spans="1:5" x14ac:dyDescent="0.4">
      <c r="A2" s="1" t="s">
        <v>0</v>
      </c>
      <c r="B2" s="1" t="s">
        <v>1</v>
      </c>
      <c r="C2" s="1" t="s">
        <v>2</v>
      </c>
      <c r="D2" s="2" t="s">
        <v>3</v>
      </c>
      <c r="E2" s="1" t="s">
        <v>79</v>
      </c>
    </row>
    <row r="3" spans="1:5" x14ac:dyDescent="0.4">
      <c r="A3" s="3" t="s">
        <v>4</v>
      </c>
      <c r="B3" s="3" t="s">
        <v>5</v>
      </c>
      <c r="C3" s="3" t="s">
        <v>6</v>
      </c>
      <c r="D3" s="4">
        <v>5849.5212318270642</v>
      </c>
      <c r="E3" s="3" t="s">
        <v>80</v>
      </c>
    </row>
    <row r="4" spans="1:5" x14ac:dyDescent="0.4">
      <c r="A4" s="3" t="s">
        <v>7</v>
      </c>
      <c r="B4" s="3" t="s">
        <v>8</v>
      </c>
      <c r="C4" s="3" t="s">
        <v>9</v>
      </c>
      <c r="D4" s="4">
        <v>26280.621188951438</v>
      </c>
      <c r="E4" s="3" t="s">
        <v>80</v>
      </c>
    </row>
    <row r="5" spans="1:5" x14ac:dyDescent="0.4">
      <c r="A5" s="3" t="s">
        <v>10</v>
      </c>
      <c r="B5" s="3" t="s">
        <v>11</v>
      </c>
      <c r="C5" s="3" t="s">
        <v>9</v>
      </c>
      <c r="D5" s="4">
        <v>1075461.7320675128</v>
      </c>
      <c r="E5" s="3" t="s">
        <v>81</v>
      </c>
    </row>
    <row r="6" spans="1:5" x14ac:dyDescent="0.4">
      <c r="A6" s="3" t="s">
        <v>12</v>
      </c>
      <c r="B6" s="3" t="s">
        <v>13</v>
      </c>
      <c r="C6" s="3" t="s">
        <v>9</v>
      </c>
      <c r="D6" s="4">
        <v>121421.42689276834</v>
      </c>
      <c r="E6" s="3" t="s">
        <v>81</v>
      </c>
    </row>
    <row r="7" spans="1:5" x14ac:dyDescent="0.4">
      <c r="A7" s="3" t="s">
        <v>14</v>
      </c>
      <c r="B7" s="3" t="s">
        <v>13</v>
      </c>
      <c r="C7" s="3" t="s">
        <v>9</v>
      </c>
      <c r="D7" s="4">
        <v>57814.730923479161</v>
      </c>
      <c r="E7" s="3" t="s">
        <v>81</v>
      </c>
    </row>
    <row r="8" spans="1:5" x14ac:dyDescent="0.4">
      <c r="A8" s="3" t="s">
        <v>15</v>
      </c>
      <c r="B8" s="3" t="s">
        <v>16</v>
      </c>
      <c r="C8" s="3" t="s">
        <v>9</v>
      </c>
      <c r="D8" s="4">
        <v>537962.332719445</v>
      </c>
      <c r="E8" s="3" t="s">
        <v>81</v>
      </c>
    </row>
    <row r="9" spans="1:5" x14ac:dyDescent="0.4">
      <c r="A9" s="3" t="s">
        <v>17</v>
      </c>
      <c r="B9" s="3" t="s">
        <v>18</v>
      </c>
      <c r="C9" s="3" t="s">
        <v>9</v>
      </c>
      <c r="D9" s="4">
        <v>6753.6106722595432</v>
      </c>
      <c r="E9" s="3" t="s">
        <v>80</v>
      </c>
    </row>
    <row r="10" spans="1:5" x14ac:dyDescent="0.4">
      <c r="A10" s="3" t="s">
        <v>19</v>
      </c>
      <c r="B10" s="3" t="s">
        <v>20</v>
      </c>
      <c r="C10" s="3" t="s">
        <v>9</v>
      </c>
      <c r="D10" s="4">
        <v>120155.48460329951</v>
      </c>
      <c r="E10" s="3" t="s">
        <v>81</v>
      </c>
    </row>
    <row r="11" spans="1:5" x14ac:dyDescent="0.4">
      <c r="A11" s="3" t="s">
        <v>21</v>
      </c>
      <c r="B11" s="3" t="s">
        <v>22</v>
      </c>
      <c r="C11" s="3" t="s">
        <v>9</v>
      </c>
      <c r="D11" s="4">
        <v>280022.39987629937</v>
      </c>
      <c r="E11" s="3" t="s">
        <v>81</v>
      </c>
    </row>
    <row r="12" spans="1:5" x14ac:dyDescent="0.4">
      <c r="A12" s="3" t="s">
        <v>23</v>
      </c>
      <c r="B12" s="3" t="s">
        <v>24</v>
      </c>
      <c r="C12" s="3" t="s">
        <v>9</v>
      </c>
      <c r="D12" s="4">
        <v>42799</v>
      </c>
      <c r="E12" s="3" t="s">
        <v>80</v>
      </c>
    </row>
    <row r="13" spans="1:5" x14ac:dyDescent="0.4">
      <c r="A13" s="3" t="s">
        <v>25</v>
      </c>
      <c r="B13" s="3" t="s">
        <v>24</v>
      </c>
      <c r="C13" s="3" t="s">
        <v>9</v>
      </c>
      <c r="D13" s="4">
        <v>106166.70000000001</v>
      </c>
      <c r="E13" s="3" t="s">
        <v>81</v>
      </c>
    </row>
    <row r="14" spans="1:5" x14ac:dyDescent="0.4">
      <c r="A14" s="3" t="s">
        <v>26</v>
      </c>
      <c r="B14" s="3" t="s">
        <v>27</v>
      </c>
      <c r="C14" s="3" t="s">
        <v>9</v>
      </c>
      <c r="D14" s="4">
        <v>59008.361666666671</v>
      </c>
      <c r="E14" s="3" t="s">
        <v>81</v>
      </c>
    </row>
    <row r="15" spans="1:5" x14ac:dyDescent="0.4">
      <c r="A15" s="3" t="s">
        <v>28</v>
      </c>
      <c r="B15" s="3" t="s">
        <v>29</v>
      </c>
      <c r="C15" s="3" t="s">
        <v>9</v>
      </c>
      <c r="D15" s="4">
        <v>390796.88477064227</v>
      </c>
      <c r="E15" s="3" t="s">
        <v>81</v>
      </c>
    </row>
    <row r="16" spans="1:5" x14ac:dyDescent="0.4">
      <c r="A16" s="3" t="s">
        <v>30</v>
      </c>
      <c r="B16" s="3" t="s">
        <v>18</v>
      </c>
      <c r="C16" s="3" t="s">
        <v>9</v>
      </c>
      <c r="D16" s="4">
        <v>25005.846570989575</v>
      </c>
      <c r="E16" s="3" t="s">
        <v>80</v>
      </c>
    </row>
    <row r="17" spans="1:5" x14ac:dyDescent="0.4">
      <c r="A17" s="3" t="s">
        <v>31</v>
      </c>
      <c r="B17" s="3" t="s">
        <v>18</v>
      </c>
      <c r="C17" s="3" t="s">
        <v>9</v>
      </c>
      <c r="D17" s="4">
        <v>51044.647118252149</v>
      </c>
      <c r="E17" s="3" t="s">
        <v>80</v>
      </c>
    </row>
    <row r="18" spans="1:5" x14ac:dyDescent="0.4">
      <c r="A18" s="3" t="s">
        <v>32</v>
      </c>
      <c r="B18" s="3" t="s">
        <v>8</v>
      </c>
      <c r="C18" s="3" t="s">
        <v>9</v>
      </c>
      <c r="D18" s="4">
        <v>99496.175879514602</v>
      </c>
      <c r="E18" s="3" t="s">
        <v>80</v>
      </c>
    </row>
    <row r="19" spans="1:5" x14ac:dyDescent="0.4">
      <c r="A19" s="3" t="s">
        <v>33</v>
      </c>
      <c r="B19" s="3" t="s">
        <v>8</v>
      </c>
      <c r="C19" s="3" t="s">
        <v>9</v>
      </c>
      <c r="D19" s="4">
        <v>15307.647421373516</v>
      </c>
      <c r="E19" s="3" t="s">
        <v>80</v>
      </c>
    </row>
    <row r="20" spans="1:5" x14ac:dyDescent="0.4">
      <c r="A20" s="3" t="s">
        <v>34</v>
      </c>
      <c r="B20" s="3" t="s">
        <v>35</v>
      </c>
      <c r="C20" s="3" t="s">
        <v>9</v>
      </c>
      <c r="D20" s="4">
        <v>2116760.1201187787</v>
      </c>
      <c r="E20" s="3" t="s">
        <v>80</v>
      </c>
    </row>
    <row r="21" spans="1:5" x14ac:dyDescent="0.4">
      <c r="A21" s="3" t="s">
        <v>36</v>
      </c>
      <c r="B21" s="3" t="s">
        <v>37</v>
      </c>
      <c r="C21" s="3" t="s">
        <v>9</v>
      </c>
      <c r="D21" s="4">
        <v>246476.61719623115</v>
      </c>
      <c r="E21" s="3" t="s">
        <v>80</v>
      </c>
    </row>
    <row r="22" spans="1:5" x14ac:dyDescent="0.4">
      <c r="A22" s="3" t="s">
        <v>38</v>
      </c>
      <c r="B22" s="3" t="s">
        <v>37</v>
      </c>
      <c r="C22" s="3" t="s">
        <v>9</v>
      </c>
      <c r="D22" s="4">
        <v>131042.94999999998</v>
      </c>
      <c r="E22" s="3" t="s">
        <v>80</v>
      </c>
    </row>
    <row r="23" spans="1:5" x14ac:dyDescent="0.4">
      <c r="A23" s="3" t="s">
        <v>39</v>
      </c>
      <c r="B23" s="3" t="s">
        <v>40</v>
      </c>
      <c r="C23" s="3" t="s">
        <v>9</v>
      </c>
      <c r="D23" s="4">
        <v>523095.4248675995</v>
      </c>
      <c r="E23" s="3" t="s">
        <v>80</v>
      </c>
    </row>
    <row r="24" spans="1:5" x14ac:dyDescent="0.4">
      <c r="A24" s="3" t="s">
        <v>41</v>
      </c>
      <c r="B24" s="3" t="s">
        <v>42</v>
      </c>
      <c r="C24" s="3" t="s">
        <v>43</v>
      </c>
      <c r="D24" s="4">
        <v>431.32019922397944</v>
      </c>
      <c r="E24" s="3" t="s">
        <v>80</v>
      </c>
    </row>
    <row r="25" spans="1:5" x14ac:dyDescent="0.4">
      <c r="A25" s="3" t="s">
        <v>44</v>
      </c>
      <c r="B25" s="3" t="s">
        <v>42</v>
      </c>
      <c r="C25" s="3" t="s">
        <v>43</v>
      </c>
      <c r="D25" s="4">
        <v>285287.78480573674</v>
      </c>
      <c r="E25" s="3" t="s">
        <v>80</v>
      </c>
    </row>
    <row r="26" spans="1:5" x14ac:dyDescent="0.4">
      <c r="A26" s="3" t="s">
        <v>45</v>
      </c>
      <c r="B26" s="3" t="s">
        <v>46</v>
      </c>
      <c r="C26" s="3" t="s">
        <v>43</v>
      </c>
      <c r="D26" s="4">
        <v>106777.90023232829</v>
      </c>
      <c r="E26" s="3" t="s">
        <v>80</v>
      </c>
    </row>
    <row r="27" spans="1:5" x14ac:dyDescent="0.4">
      <c r="A27" s="3" t="s">
        <v>47</v>
      </c>
      <c r="B27" s="3" t="s">
        <v>42</v>
      </c>
      <c r="C27" s="3" t="s">
        <v>43</v>
      </c>
      <c r="D27" s="4">
        <v>21719.545840799812</v>
      </c>
      <c r="E27" s="3" t="s">
        <v>80</v>
      </c>
    </row>
    <row r="28" spans="1:5" x14ac:dyDescent="0.4">
      <c r="A28" s="3" t="s">
        <v>48</v>
      </c>
      <c r="B28" s="3" t="s">
        <v>49</v>
      </c>
      <c r="C28" s="3" t="s">
        <v>43</v>
      </c>
      <c r="D28" s="4">
        <v>21792.819999999996</v>
      </c>
      <c r="E28" s="3" t="s">
        <v>80</v>
      </c>
    </row>
    <row r="29" spans="1:5" x14ac:dyDescent="0.4">
      <c r="A29" s="3" t="s">
        <v>50</v>
      </c>
      <c r="B29" s="3" t="s">
        <v>51</v>
      </c>
      <c r="C29" s="3" t="s">
        <v>52</v>
      </c>
      <c r="D29" s="4">
        <v>493496.09898442903</v>
      </c>
      <c r="E29" s="3" t="s">
        <v>80</v>
      </c>
    </row>
    <row r="30" spans="1:5" x14ac:dyDescent="0.4">
      <c r="A30" s="3" t="s">
        <v>53</v>
      </c>
      <c r="B30" s="3" t="s">
        <v>51</v>
      </c>
      <c r="C30" s="3" t="s">
        <v>52</v>
      </c>
      <c r="D30" s="4">
        <v>312213.46000000002</v>
      </c>
      <c r="E30" s="3" t="s">
        <v>80</v>
      </c>
    </row>
    <row r="31" spans="1:5" x14ac:dyDescent="0.4">
      <c r="A31" s="3" t="s">
        <v>54</v>
      </c>
      <c r="B31" s="3" t="s">
        <v>55</v>
      </c>
      <c r="C31" s="3" t="s">
        <v>56</v>
      </c>
      <c r="D31" s="4">
        <v>672.18763024106249</v>
      </c>
      <c r="E31" s="3" t="s">
        <v>80</v>
      </c>
    </row>
    <row r="32" spans="1:5" x14ac:dyDescent="0.4">
      <c r="A32" s="3" t="s">
        <v>57</v>
      </c>
      <c r="B32" s="3" t="s">
        <v>58</v>
      </c>
      <c r="C32" s="3" t="s">
        <v>59</v>
      </c>
      <c r="D32" s="4">
        <v>1761.2529048317913</v>
      </c>
      <c r="E32" s="3" t="s">
        <v>80</v>
      </c>
    </row>
    <row r="33" spans="1:5" x14ac:dyDescent="0.4">
      <c r="A33" s="3" t="s">
        <v>60</v>
      </c>
      <c r="B33" s="3" t="s">
        <v>82</v>
      </c>
      <c r="C33" s="3" t="s">
        <v>61</v>
      </c>
      <c r="D33" s="4">
        <v>22966.119999999995</v>
      </c>
      <c r="E33" s="3" t="s">
        <v>80</v>
      </c>
    </row>
    <row r="34" spans="1:5" x14ac:dyDescent="0.4">
      <c r="A34" s="3" t="s">
        <v>62</v>
      </c>
      <c r="B34" s="3" t="s">
        <v>63</v>
      </c>
      <c r="C34" s="3" t="s">
        <v>64</v>
      </c>
      <c r="D34" s="4">
        <v>26591.941165500408</v>
      </c>
      <c r="E34" s="3" t="s">
        <v>80</v>
      </c>
    </row>
    <row r="35" spans="1:5" x14ac:dyDescent="0.4">
      <c r="A35" s="3" t="s">
        <v>65</v>
      </c>
      <c r="B35" s="3" t="s">
        <v>83</v>
      </c>
      <c r="C35" s="3" t="s">
        <v>66</v>
      </c>
      <c r="D35" s="4">
        <v>0</v>
      </c>
      <c r="E35" s="3" t="s">
        <v>80</v>
      </c>
    </row>
    <row r="36" spans="1:5" x14ac:dyDescent="0.4">
      <c r="A36" s="3" t="s">
        <v>67</v>
      </c>
      <c r="B36" s="3" t="s">
        <v>68</v>
      </c>
      <c r="C36" s="3" t="s">
        <v>69</v>
      </c>
      <c r="D36" s="4">
        <v>58330.768879439645</v>
      </c>
      <c r="E36" s="3" t="s">
        <v>80</v>
      </c>
    </row>
    <row r="37" spans="1:5" x14ac:dyDescent="0.4">
      <c r="A37" s="3" t="s">
        <v>70</v>
      </c>
      <c r="B37" s="3" t="s">
        <v>71</v>
      </c>
      <c r="C37" s="3" t="s">
        <v>72</v>
      </c>
      <c r="D37" s="4">
        <v>2917.0406595366862</v>
      </c>
      <c r="E37" s="3" t="s">
        <v>80</v>
      </c>
    </row>
    <row r="38" spans="1:5" x14ac:dyDescent="0.4">
      <c r="A38" s="3" t="s">
        <v>73</v>
      </c>
      <c r="B38" s="3" t="s">
        <v>84</v>
      </c>
      <c r="C38" s="3" t="s">
        <v>74</v>
      </c>
      <c r="D38" s="4">
        <v>0</v>
      </c>
      <c r="E38" s="3" t="s">
        <v>80</v>
      </c>
    </row>
    <row r="39" spans="1:5" x14ac:dyDescent="0.4">
      <c r="A39" s="3" t="s">
        <v>75</v>
      </c>
      <c r="B39" s="3" t="s">
        <v>76</v>
      </c>
      <c r="C39" s="3" t="s">
        <v>77</v>
      </c>
      <c r="D39" s="4">
        <v>7838.8727495560652</v>
      </c>
      <c r="E39" s="3" t="s">
        <v>80</v>
      </c>
    </row>
    <row r="40" spans="1:5" x14ac:dyDescent="0.4">
      <c r="A40" s="3" t="s">
        <v>78</v>
      </c>
      <c r="B40" s="3" t="s">
        <v>85</v>
      </c>
      <c r="C40" s="3" t="s">
        <v>6</v>
      </c>
      <c r="D40" s="4">
        <v>0</v>
      </c>
      <c r="E40" s="3" t="s">
        <v>80</v>
      </c>
    </row>
    <row r="41" spans="1:5" x14ac:dyDescent="0.4">
      <c r="A41" s="1"/>
      <c r="B41" s="1"/>
      <c r="C41" s="1"/>
      <c r="D41" s="5">
        <f>SUM(D2:D40)</f>
        <v>7401519.3498375136</v>
      </c>
      <c r="E41" s="1"/>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E7A96-22A2-43D0-BD30-BAFCA64195B7}">
  <dimension ref="B3:B18"/>
  <sheetViews>
    <sheetView workbookViewId="0"/>
  </sheetViews>
  <sheetFormatPr defaultRowHeight="14.6" x14ac:dyDescent="0.4"/>
  <cols>
    <col min="1" max="1" width="4.3046875" customWidth="1"/>
  </cols>
  <sheetData>
    <row r="3" spans="2:2" ht="18" x14ac:dyDescent="0.4">
      <c r="B3" s="6" t="s">
        <v>91</v>
      </c>
    </row>
    <row r="4" spans="2:2" ht="18" x14ac:dyDescent="0.4">
      <c r="B4" s="6"/>
    </row>
    <row r="5" spans="2:2" ht="18" x14ac:dyDescent="0.4">
      <c r="B5" s="6"/>
    </row>
    <row r="6" spans="2:2" ht="18" x14ac:dyDescent="0.4">
      <c r="B6" s="6"/>
    </row>
    <row r="7" spans="2:2" ht="18" x14ac:dyDescent="0.4">
      <c r="B7" s="6" t="s">
        <v>92</v>
      </c>
    </row>
    <row r="8" spans="2:2" ht="18" x14ac:dyDescent="0.4">
      <c r="B8" s="7" t="s">
        <v>93</v>
      </c>
    </row>
    <row r="9" spans="2:2" ht="18" x14ac:dyDescent="0.4">
      <c r="B9" s="7"/>
    </row>
    <row r="10" spans="2:2" ht="18" x14ac:dyDescent="0.4">
      <c r="B10" s="7"/>
    </row>
    <row r="11" spans="2:2" ht="18" x14ac:dyDescent="0.4">
      <c r="B11" s="7"/>
    </row>
    <row r="12" spans="2:2" ht="18" x14ac:dyDescent="0.4">
      <c r="B12" s="6" t="s">
        <v>94</v>
      </c>
    </row>
    <row r="13" spans="2:2" ht="18" x14ac:dyDescent="0.4">
      <c r="B13" s="7" t="s">
        <v>96</v>
      </c>
    </row>
    <row r="14" spans="2:2" ht="18" x14ac:dyDescent="0.4">
      <c r="B14" s="7" t="s">
        <v>98</v>
      </c>
    </row>
    <row r="15" spans="2:2" ht="18" x14ac:dyDescent="0.4">
      <c r="B15" s="7"/>
    </row>
    <row r="16" spans="2:2" ht="18" x14ac:dyDescent="0.4">
      <c r="B16" s="7"/>
    </row>
    <row r="17" spans="2:2" ht="18" x14ac:dyDescent="0.4">
      <c r="B17" s="6" t="s">
        <v>95</v>
      </c>
    </row>
    <row r="18" spans="2:2" ht="18" x14ac:dyDescent="0.4">
      <c r="B18" s="7" t="s">
        <v>97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E7104-504D-4BF9-84F2-1CBD613CFA07}">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6.69140625" bestFit="1" customWidth="1"/>
    <col min="4" max="4" width="40.53515625" bestFit="1" customWidth="1"/>
    <col min="5" max="5" width="58.69140625" bestFit="1" customWidth="1"/>
    <col min="6" max="6" width="17.53515625" bestFit="1" customWidth="1"/>
    <col min="7" max="7" width="12.3046875" bestFit="1" customWidth="1"/>
    <col min="8" max="9" width="16.53515625" bestFit="1" customWidth="1"/>
  </cols>
  <sheetData>
    <row r="1" spans="1:11" x14ac:dyDescent="0.4">
      <c r="K1" s="33" t="s">
        <v>254</v>
      </c>
    </row>
    <row r="3" spans="1:11" x14ac:dyDescent="0.4">
      <c r="A3" s="15" t="s">
        <v>124</v>
      </c>
      <c r="B3" s="14" t="s">
        <v>125</v>
      </c>
      <c r="C3" s="15" t="s">
        <v>126</v>
      </c>
      <c r="D3" s="16" t="s">
        <v>86</v>
      </c>
      <c r="E3" s="16" t="s">
        <v>87</v>
      </c>
      <c r="F3" s="15" t="s">
        <v>127</v>
      </c>
      <c r="G3" s="15" t="s">
        <v>128</v>
      </c>
      <c r="H3" s="17" t="s">
        <v>129</v>
      </c>
      <c r="I3" s="34" t="s">
        <v>284</v>
      </c>
    </row>
    <row r="4" spans="1:11" x14ac:dyDescent="0.4">
      <c r="A4" s="9">
        <v>10085</v>
      </c>
      <c r="B4" s="9">
        <f>VLOOKUP(A4,'Project Status'!C:D,2,FALSE)</f>
        <v>4591</v>
      </c>
      <c r="C4" s="9">
        <f>VLOOKUP(A4,'Project Status'!C:E,3,FALSE)</f>
        <v>0</v>
      </c>
      <c r="D4" s="9" t="str">
        <f>VLOOKUP(A4,'Project Status'!C:F,4,FALSE)</f>
        <v>21000 - Peabody College: Office of the Dean</v>
      </c>
      <c r="E4" s="9" t="str">
        <f>VLOOKUP(A4,'Project Status'!C:I,7,FALSE)</f>
        <v>One Magnolia Circle - Modify/Upgrade Electrical and Grounding</v>
      </c>
      <c r="F4" s="9" t="str">
        <f>VLOOKUP(A4,'Project Status'!C:K,8,FALSE)</f>
        <v>Complete</v>
      </c>
      <c r="G4" s="9" t="str">
        <f>VLOOKUP(A4,'Project Status'!C:L,9,FALSE)</f>
        <v>Finalized</v>
      </c>
      <c r="H4" s="25">
        <f>VLOOKUP(A4,'Project Status'!C:N,11,FALSE)</f>
        <v>17500</v>
      </c>
      <c r="I4" s="35">
        <f>VLOOKUP(A4,'Project Status'!C:O,13,FALSE)</f>
        <v>17500</v>
      </c>
    </row>
    <row r="8" spans="1:11" x14ac:dyDescent="0.4">
      <c r="E8" s="19" t="s">
        <v>123</v>
      </c>
    </row>
    <row r="9" spans="1:11" x14ac:dyDescent="0.4">
      <c r="E9" s="11" t="s">
        <v>204</v>
      </c>
      <c r="F9" s="13" t="s">
        <v>145</v>
      </c>
      <c r="H9" s="20">
        <v>22000</v>
      </c>
      <c r="I9" s="20"/>
    </row>
    <row r="10" spans="1:11" x14ac:dyDescent="0.4">
      <c r="E10" s="11" t="s">
        <v>285</v>
      </c>
      <c r="F10" t="s">
        <v>286</v>
      </c>
      <c r="H10" s="21">
        <v>-4500</v>
      </c>
      <c r="I10" s="21"/>
    </row>
    <row r="18" spans="5:8" x14ac:dyDescent="0.4">
      <c r="E18" s="28" t="s">
        <v>250</v>
      </c>
      <c r="F18" s="29"/>
      <c r="G18" s="28"/>
      <c r="H18" s="30">
        <f>SUM(H9:H17)</f>
        <v>17500</v>
      </c>
    </row>
    <row r="20" spans="5:8" x14ac:dyDescent="0.4">
      <c r="E20" s="31" t="s">
        <v>135</v>
      </c>
      <c r="F20" s="31"/>
      <c r="G20" s="31"/>
      <c r="H20" s="32">
        <f>I4-H18</f>
        <v>0</v>
      </c>
    </row>
  </sheetData>
  <hyperlinks>
    <hyperlink ref="K1" location="'Project Status'!A1" display="'Project Status'!A1" xr:uid="{33687509-4DFC-46F4-91EA-B013FA4D8936}"/>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4</vt:i4>
      </vt:variant>
    </vt:vector>
  </HeadingPairs>
  <TitlesOfParts>
    <vt:vector size="89" baseType="lpstr">
      <vt:lpstr>Guidance</vt:lpstr>
      <vt:lpstr>Summary_for Web-1</vt:lpstr>
      <vt:lpstr>Summary_for Web-2</vt:lpstr>
      <vt:lpstr>Contributions</vt:lpstr>
      <vt:lpstr>Shared Building Allocation</vt:lpstr>
      <vt:lpstr>Summary_by School</vt:lpstr>
      <vt:lpstr>Project Status</vt:lpstr>
      <vt:lpstr>Summary_by FY</vt:lpstr>
      <vt:lpstr>10085</vt:lpstr>
      <vt:lpstr>10098</vt:lpstr>
      <vt:lpstr>10146</vt:lpstr>
      <vt:lpstr>20179</vt:lpstr>
      <vt:lpstr>20336</vt:lpstr>
      <vt:lpstr>20431</vt:lpstr>
      <vt:lpstr>20478</vt:lpstr>
      <vt:lpstr>20489</vt:lpstr>
      <vt:lpstr>20497</vt:lpstr>
      <vt:lpstr>20506</vt:lpstr>
      <vt:lpstr>20562</vt:lpstr>
      <vt:lpstr>20566</vt:lpstr>
      <vt:lpstr>20573</vt:lpstr>
      <vt:lpstr>20574</vt:lpstr>
      <vt:lpstr>20577</vt:lpstr>
      <vt:lpstr>20644</vt:lpstr>
      <vt:lpstr>20645</vt:lpstr>
      <vt:lpstr>20667</vt:lpstr>
      <vt:lpstr>20668</vt:lpstr>
      <vt:lpstr>20698</vt:lpstr>
      <vt:lpstr>20700</vt:lpstr>
      <vt:lpstr>20701</vt:lpstr>
      <vt:lpstr>20702</vt:lpstr>
      <vt:lpstr>20718</vt:lpstr>
      <vt:lpstr>20723</vt:lpstr>
      <vt:lpstr>20724</vt:lpstr>
      <vt:lpstr>20735</vt:lpstr>
      <vt:lpstr>20767</vt:lpstr>
      <vt:lpstr>20771</vt:lpstr>
      <vt:lpstr>20792</vt:lpstr>
      <vt:lpstr>20831</vt:lpstr>
      <vt:lpstr>20832</vt:lpstr>
      <vt:lpstr>20833</vt:lpstr>
      <vt:lpstr>20772</vt:lpstr>
      <vt:lpstr>20811</vt:lpstr>
      <vt:lpstr>20812</vt:lpstr>
      <vt:lpstr>20857</vt:lpstr>
      <vt:lpstr>20884</vt:lpstr>
      <vt:lpstr>20885</vt:lpstr>
      <vt:lpstr>20911</vt:lpstr>
      <vt:lpstr>20912</vt:lpstr>
      <vt:lpstr>20913</vt:lpstr>
      <vt:lpstr>20922</vt:lpstr>
      <vt:lpstr>20924</vt:lpstr>
      <vt:lpstr>20925</vt:lpstr>
      <vt:lpstr>20936</vt:lpstr>
      <vt:lpstr>20940</vt:lpstr>
      <vt:lpstr>20945</vt:lpstr>
      <vt:lpstr>20958</vt:lpstr>
      <vt:lpstr>20962</vt:lpstr>
      <vt:lpstr>20979</vt:lpstr>
      <vt:lpstr>20982</vt:lpstr>
      <vt:lpstr>20984</vt:lpstr>
      <vt:lpstr>21004</vt:lpstr>
      <vt:lpstr>21010</vt:lpstr>
      <vt:lpstr>21035</vt:lpstr>
      <vt:lpstr>21051</vt:lpstr>
      <vt:lpstr>21066</vt:lpstr>
      <vt:lpstr>21067</vt:lpstr>
      <vt:lpstr>21068</vt:lpstr>
      <vt:lpstr>21070</vt:lpstr>
      <vt:lpstr>21071</vt:lpstr>
      <vt:lpstr>21094</vt:lpstr>
      <vt:lpstr>21108</vt:lpstr>
      <vt:lpstr>21113</vt:lpstr>
      <vt:lpstr>21114</vt:lpstr>
      <vt:lpstr>21127</vt:lpstr>
      <vt:lpstr>21156</vt:lpstr>
      <vt:lpstr>21173</vt:lpstr>
      <vt:lpstr>21178</vt:lpstr>
      <vt:lpstr>JE LOG_FY26</vt:lpstr>
      <vt:lpstr>JE LOG_FY25</vt:lpstr>
      <vt:lpstr>JE LOG_FY24</vt:lpstr>
      <vt:lpstr>JE LOG_FY23</vt:lpstr>
      <vt:lpstr>lookup</vt:lpstr>
      <vt:lpstr>PUC GSF</vt:lpstr>
      <vt:lpstr>Notes</vt:lpstr>
      <vt:lpstr>JE</vt:lpstr>
      <vt:lpstr>'JE LOG_FY24'!list</vt:lpstr>
      <vt:lpstr>list</vt:lpstr>
      <vt:lpstr>'Shared Building Allocation'!Print_Area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Crowhurst, Stacey</dc:creator>
  <cp:lastModifiedBy>Crowhurst, Stacey</cp:lastModifiedBy>
  <cp:lastPrinted>2026-01-17T18:15:40Z</cp:lastPrinted>
  <dcterms:created xsi:type="dcterms:W3CDTF">2021-08-31T18:33:23Z</dcterms:created>
  <dcterms:modified xsi:type="dcterms:W3CDTF">2026-01-17T18:16:50Z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